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540" yWindow="4905" windowWidth="15330" windowHeight="4695" tabRatio="445"/>
  </bookViews>
  <sheets>
    <sheet name="DomesticDebt" sheetId="44" r:id="rId1"/>
  </sheets>
  <calcPr calcId="144525"/>
</workbook>
</file>

<file path=xl/calcChain.xml><?xml version="1.0" encoding="utf-8"?>
<calcChain xmlns="http://schemas.openxmlformats.org/spreadsheetml/2006/main">
  <c r="D45" i="44" l="1"/>
  <c r="AA41" i="44"/>
  <c r="T41" i="44"/>
  <c r="O41" i="44"/>
  <c r="I41" i="44"/>
  <c r="E41" i="44"/>
  <c r="D46" i="44"/>
  <c r="C37" i="44" l="1"/>
  <c r="C41" i="44"/>
  <c r="C43" i="44"/>
  <c r="B43" i="44"/>
  <c r="X41" i="44" l="1"/>
  <c r="N41" i="44"/>
  <c r="M36" i="44"/>
  <c r="E35" i="44"/>
  <c r="E42" i="44"/>
  <c r="D37" i="44"/>
  <c r="C35" i="44"/>
  <c r="B35" i="44"/>
  <c r="B41" i="44"/>
  <c r="C45" i="44"/>
  <c r="C40" i="44" l="1"/>
  <c r="AB46" i="44" l="1"/>
  <c r="C47" i="44"/>
  <c r="D47" i="44"/>
  <c r="E47" i="44"/>
  <c r="F47" i="44"/>
  <c r="G47" i="44"/>
  <c r="H47" i="44"/>
  <c r="I47" i="44"/>
  <c r="J47" i="44"/>
  <c r="K47" i="44"/>
  <c r="L47" i="44"/>
  <c r="M47" i="44"/>
  <c r="N47" i="44"/>
  <c r="O47" i="44"/>
  <c r="P47" i="44"/>
  <c r="Q47" i="44"/>
  <c r="R47" i="44"/>
  <c r="S47" i="44"/>
  <c r="T47" i="44"/>
  <c r="U47" i="44"/>
  <c r="V47" i="44"/>
  <c r="W47" i="44"/>
  <c r="X47" i="44"/>
  <c r="Y47" i="44"/>
  <c r="Z47" i="44"/>
  <c r="AA47" i="44"/>
  <c r="B47" i="44"/>
  <c r="M33" i="44" l="1"/>
  <c r="F41" i="44" l="1"/>
  <c r="D41" i="44"/>
  <c r="D43" i="44" l="1"/>
  <c r="F43" i="44" l="1"/>
  <c r="E36" i="44"/>
  <c r="E39" i="44"/>
  <c r="J33" i="44" l="1"/>
  <c r="D42" i="44" l="1"/>
  <c r="J36" i="44" l="1"/>
  <c r="J41" i="44"/>
  <c r="E43" i="44" l="1"/>
  <c r="W41" i="44" l="1"/>
  <c r="C42" i="44"/>
  <c r="D33" i="44" l="1"/>
  <c r="R41" i="44" l="1"/>
  <c r="D36" i="44" l="1"/>
  <c r="I43" i="44" l="1"/>
  <c r="H43" i="44"/>
  <c r="G43" i="44"/>
  <c r="H38" i="44" l="1"/>
  <c r="AB40" i="44" l="1"/>
  <c r="AB45" i="44"/>
  <c r="R38" i="44" l="1"/>
  <c r="F33" i="44"/>
  <c r="S43" i="44"/>
  <c r="C38" i="44" l="1"/>
  <c r="C33" i="44" l="1"/>
  <c r="AB39" i="44" l="1"/>
  <c r="E33" i="44" l="1"/>
  <c r="Q41" i="44"/>
  <c r="M38" i="44"/>
  <c r="AB34" i="44" l="1"/>
  <c r="AB37" i="44"/>
  <c r="AB38" i="44"/>
  <c r="AB42" i="44"/>
  <c r="AB43" i="44"/>
  <c r="AB44" i="44"/>
  <c r="H33" i="44" l="1"/>
  <c r="AB33" i="44" s="1"/>
  <c r="G36" i="44"/>
  <c r="U41" i="44"/>
  <c r="V41" i="44"/>
  <c r="AB36" i="44" l="1"/>
  <c r="AB41" i="44"/>
  <c r="AB35" i="44"/>
  <c r="AB47" i="44" l="1"/>
  <c r="AA48" i="44" s="1"/>
  <c r="S48" i="44" l="1"/>
  <c r="M48" i="44"/>
  <c r="J48" i="44"/>
  <c r="N48" i="44"/>
  <c r="W48" i="44"/>
  <c r="L48" i="44"/>
  <c r="G48" i="44"/>
  <c r="U48" i="44"/>
  <c r="R48" i="44"/>
  <c r="V48" i="44"/>
  <c r="T48" i="44"/>
  <c r="B48" i="44"/>
  <c r="H48" i="44"/>
  <c r="X48" i="44"/>
  <c r="C48" i="44"/>
  <c r="I48" i="44"/>
  <c r="Z48" i="44"/>
  <c r="D48" i="44"/>
  <c r="O48" i="44"/>
  <c r="E48" i="44"/>
  <c r="K48" i="44"/>
  <c r="Y48" i="44"/>
  <c r="P48" i="44"/>
  <c r="Q48" i="44"/>
  <c r="F48" i="44"/>
  <c r="AB48" i="44" l="1"/>
</calcChain>
</file>

<file path=xl/sharedStrings.xml><?xml version="1.0" encoding="utf-8"?>
<sst xmlns="http://schemas.openxmlformats.org/spreadsheetml/2006/main" count="22" uniqueCount="22">
  <si>
    <t>Fiscal Year</t>
  </si>
  <si>
    <t>2015</t>
  </si>
  <si>
    <t>2021</t>
  </si>
  <si>
    <t>T-Bill</t>
  </si>
  <si>
    <t>2023</t>
  </si>
  <si>
    <t>\</t>
  </si>
  <si>
    <t>Total</t>
  </si>
  <si>
    <t>FIDF 3 Bond</t>
  </si>
  <si>
    <t>FIDF 3 Saving Bond</t>
  </si>
  <si>
    <t>FIDF1 Bond</t>
  </si>
  <si>
    <t>Budget Deficit &amp; Debt Management Bond</t>
  </si>
  <si>
    <t>Budget Deficit &amp; Debt Management Saving Bond</t>
  </si>
  <si>
    <t>Total amount (million baht)</t>
  </si>
  <si>
    <t>Total mount (%)</t>
  </si>
  <si>
    <t>FIDF 3 PN / term loan / R-Bill</t>
  </si>
  <si>
    <t>Water Decree Term Loan</t>
  </si>
  <si>
    <t>Budget Deficit &amp; Debt Management PN / R-Bill</t>
  </si>
  <si>
    <t>TKK Bond</t>
  </si>
  <si>
    <t>TKK PN / term loan</t>
  </si>
  <si>
    <t>FIDF1 PN / R-Bill</t>
  </si>
  <si>
    <t>On-lending Term loan/Bond</t>
  </si>
  <si>
    <t>DPL Term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</si>
</sst>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#,##0.000"/>
  </numFmts>
  <fonts count="18">
    <font>
      <sz val="14"/>
      <name val="Cordia New"/>
      <charset val="222"/>
    </font>
    <font>
      <sz val="14"/>
      <name val="Cordia New"/>
      <family val="2"/>
    </font>
    <font>
      <sz val="14"/>
      <color indexed="10"/>
      <name val="Cordia New"/>
      <family val="2"/>
      <charset val="222"/>
    </font>
    <font>
      <sz val="15"/>
      <color indexed="12"/>
      <name val="Univers Condensed"/>
      <family val="2"/>
    </font>
    <font>
      <sz val="15"/>
      <name val="Univers Condensed"/>
      <family val="2"/>
    </font>
    <font>
      <sz val="15"/>
      <color indexed="50"/>
      <name val="Univers Condensed"/>
      <family val="2"/>
    </font>
    <font>
      <sz val="14"/>
      <color indexed="56"/>
      <name val="Cordia New"/>
      <family val="2"/>
    </font>
    <font>
      <sz val="14"/>
      <color indexed="10"/>
      <name val="Cordia New"/>
      <family val="2"/>
    </font>
    <font>
      <sz val="10"/>
      <color indexed="57"/>
      <name val="Arial"/>
      <family val="2"/>
      <charset val="222"/>
    </font>
    <font>
      <sz val="8"/>
      <name val="Cordia New"/>
      <family val="2"/>
    </font>
    <font>
      <sz val="14"/>
      <name val="Cordia New"/>
      <family val="2"/>
    </font>
    <font>
      <sz val="14"/>
      <color indexed="56"/>
      <name val="Cordia New"/>
      <family val="2"/>
    </font>
    <font>
      <sz val="14"/>
      <color theme="9" tint="-0.499984740745262"/>
      <name val="Cordia New"/>
      <family val="2"/>
    </font>
    <font>
      <sz val="14"/>
      <color theme="6" tint="-0.499984740745262"/>
      <name val="Cordia New"/>
      <family val="2"/>
    </font>
    <font>
      <sz val="14"/>
      <color rgb="FFCC3399"/>
      <name val="Cordia New"/>
      <family val="2"/>
    </font>
    <font>
      <sz val="14"/>
      <color rgb="FFFF6600"/>
      <name val="Cordia New"/>
      <family val="2"/>
    </font>
    <font>
      <sz val="14"/>
      <color rgb="FF6600FF"/>
      <name val="Cordia New"/>
      <family val="2"/>
    </font>
    <font>
      <sz val="14"/>
      <color rgb="FF00B050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4" fontId="2" fillId="0" borderId="0" xfId="0" applyNumberFormat="1" applyFont="1"/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6" fillId="0" borderId="0" xfId="0" applyNumberFormat="1" applyFont="1"/>
    <xf numFmtId="0" fontId="6" fillId="0" borderId="0" xfId="0" applyFont="1"/>
    <xf numFmtId="4" fontId="7" fillId="0" borderId="0" xfId="0" applyNumberFormat="1" applyFont="1"/>
    <xf numFmtId="0" fontId="7" fillId="0" borderId="0" xfId="0" applyFont="1"/>
    <xf numFmtId="0" fontId="8" fillId="0" borderId="0" xfId="0" applyFont="1"/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quotePrefix="1" applyFont="1" applyFill="1" applyBorder="1" applyAlignment="1">
      <alignment horizontal="center"/>
    </xf>
    <xf numFmtId="4" fontId="11" fillId="0" borderId="1" xfId="0" applyNumberFormat="1" applyFont="1" applyBorder="1"/>
    <xf numFmtId="3" fontId="11" fillId="0" borderId="1" xfId="0" applyNumberFormat="1" applyFont="1" applyBorder="1"/>
    <xf numFmtId="10" fontId="10" fillId="0" borderId="1" xfId="1" applyNumberFormat="1" applyFont="1" applyBorder="1"/>
    <xf numFmtId="187" fontId="10" fillId="0" borderId="1" xfId="0" applyNumberFormat="1" applyFont="1" applyBorder="1"/>
    <xf numFmtId="0" fontId="11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14" fillId="0" borderId="1" xfId="0" applyFont="1" applyBorder="1"/>
    <xf numFmtId="3" fontId="14" fillId="0" borderId="1" xfId="0" applyNumberFormat="1" applyFont="1" applyBorder="1"/>
    <xf numFmtId="3" fontId="13" fillId="0" borderId="1" xfId="0" applyNumberFormat="1" applyFont="1" applyBorder="1"/>
    <xf numFmtId="4" fontId="13" fillId="0" borderId="1" xfId="0" applyNumberFormat="1" applyFont="1" applyBorder="1"/>
    <xf numFmtId="3" fontId="12" fillId="0" borderId="1" xfId="0" applyNumberFormat="1" applyFont="1" applyBorder="1"/>
    <xf numFmtId="4" fontId="12" fillId="0" borderId="1" xfId="0" applyNumberFormat="1" applyFont="1" applyFill="1" applyBorder="1"/>
    <xf numFmtId="3" fontId="12" fillId="0" borderId="1" xfId="0" applyNumberFormat="1" applyFont="1" applyFill="1" applyBorder="1"/>
    <xf numFmtId="0" fontId="1" fillId="0" borderId="1" xfId="0" applyFont="1" applyBorder="1"/>
    <xf numFmtId="0" fontId="6" fillId="0" borderId="1" xfId="0" applyFont="1" applyBorder="1"/>
    <xf numFmtId="0" fontId="15" fillId="0" borderId="1" xfId="0" applyFont="1" applyBorder="1"/>
    <xf numFmtId="0" fontId="16" fillId="0" borderId="1" xfId="0" applyFont="1" applyBorder="1"/>
    <xf numFmtId="3" fontId="16" fillId="0" borderId="1" xfId="0" applyNumberFormat="1" applyFont="1" applyFill="1" applyBorder="1"/>
    <xf numFmtId="4" fontId="15" fillId="0" borderId="1" xfId="0" applyNumberFormat="1" applyFont="1" applyBorder="1"/>
    <xf numFmtId="187" fontId="13" fillId="0" borderId="1" xfId="0" applyNumberFormat="1" applyFont="1" applyBorder="1"/>
    <xf numFmtId="4" fontId="14" fillId="0" borderId="1" xfId="0" applyNumberFormat="1" applyFont="1" applyBorder="1"/>
    <xf numFmtId="4" fontId="11" fillId="0" borderId="1" xfId="0" applyNumberFormat="1" applyFont="1" applyFill="1" applyBorder="1"/>
    <xf numFmtId="3" fontId="13" fillId="0" borderId="1" xfId="0" applyNumberFormat="1" applyFont="1" applyFill="1" applyBorder="1"/>
    <xf numFmtId="3" fontId="14" fillId="0" borderId="1" xfId="0" applyNumberFormat="1" applyFont="1" applyFill="1" applyBorder="1"/>
    <xf numFmtId="3" fontId="15" fillId="0" borderId="1" xfId="0" applyNumberFormat="1" applyFont="1" applyBorder="1"/>
    <xf numFmtId="187" fontId="10" fillId="0" borderId="1" xfId="0" applyNumberFormat="1" applyFont="1" applyFill="1" applyBorder="1"/>
    <xf numFmtId="0" fontId="17" fillId="0" borderId="1" xfId="0" applyFont="1" applyBorder="1"/>
    <xf numFmtId="4" fontId="17" fillId="0" borderId="1" xfId="0" applyNumberFormat="1" applyFont="1" applyBorder="1"/>
    <xf numFmtId="3" fontId="17" fillId="0" borderId="1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CCFF"/>
      <color rgb="FFFF6600"/>
      <color rgb="FFFF7C80"/>
      <color rgb="FFFF6699"/>
      <color rgb="FF6600FF"/>
      <color rgb="FFCC3399"/>
      <color rgb="FFCC9900"/>
      <color rgb="FFFFFF66"/>
      <color rgb="FFFF00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2000"/>
              <a:t>Domestic Debt Profile (as of</a:t>
            </a:r>
            <a:r>
              <a:rPr lang="en-US" sz="2000" baseline="0"/>
              <a:t> 30 June 2015)</a:t>
            </a:r>
            <a:r>
              <a:rPr lang="en-US" sz="2000"/>
              <a:t> </a:t>
            </a:r>
          </a:p>
        </c:rich>
      </c:tx>
      <c:layout>
        <c:manualLayout>
          <c:xMode val="edge"/>
          <c:yMode val="edge"/>
          <c:x val="0.40643372416875839"/>
          <c:y val="9.489916963226572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2323070751527241"/>
          <c:y val="0.10300993514600711"/>
          <c:w val="0.76978452151008825"/>
          <c:h val="0.44172520375742508"/>
        </c:manualLayout>
      </c:layout>
      <c:barChart>
        <c:barDir val="col"/>
        <c:grouping val="stacked"/>
        <c:varyColors val="0"/>
        <c:ser>
          <c:idx val="13"/>
          <c:order val="0"/>
          <c:tx>
            <c:strRef>
              <c:f>DomesticDebt!$A$46</c:f>
              <c:strCache>
                <c:ptCount val="1"/>
                <c:pt idx="0">
                  <c:v>DPL Term Loan</c:v>
                </c:pt>
              </c:strCache>
            </c:strRef>
          </c:tx>
          <c:invertIfNegative val="0"/>
          <c:val>
            <c:numRef>
              <c:f>DomesticDebt!$B$46:$AA$46</c:f>
              <c:numCache>
                <c:formatCode>#,##0.00</c:formatCode>
                <c:ptCount val="26"/>
                <c:pt idx="1">
                  <c:v>6000</c:v>
                </c:pt>
                <c:pt idx="2">
                  <c:v>2673</c:v>
                </c:pt>
              </c:numCache>
            </c:numRef>
          </c:val>
        </c:ser>
        <c:ser>
          <c:idx val="12"/>
          <c:order val="1"/>
          <c:tx>
            <c:strRef>
              <c:f>DomesticDebt!$A$45</c:f>
              <c:strCache>
                <c:ptCount val="1"/>
                <c:pt idx="0">
                  <c:v>On-lending Term loan/Bond</c:v>
                </c:pt>
              </c:strCache>
            </c:strRef>
          </c:tx>
          <c:invertIfNegative val="0"/>
          <c:cat>
            <c:strRef>
              <c:f>DomesticDebt!$B$32:$AA$32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DomesticDebt!$B$45:$AA$45</c:f>
              <c:numCache>
                <c:formatCode>#,##0.00</c:formatCode>
                <c:ptCount val="26"/>
                <c:pt idx="1">
                  <c:v>24385.189999999995</c:v>
                </c:pt>
                <c:pt idx="2">
                  <c:v>4966.29</c:v>
                </c:pt>
                <c:pt idx="7" formatCode="#,##0">
                  <c:v>20000</c:v>
                </c:pt>
              </c:numCache>
            </c:numRef>
          </c:val>
        </c:ser>
        <c:ser>
          <c:idx val="10"/>
          <c:order val="2"/>
          <c:tx>
            <c:strRef>
              <c:f>DomesticDebt!$A$44</c:f>
              <c:strCache>
                <c:ptCount val="1"/>
                <c:pt idx="0">
                  <c:v>T-Bill</c:v>
                </c:pt>
              </c:strCache>
            </c:strRef>
          </c:tx>
          <c:spPr>
            <a:solidFill>
              <a:srgbClr val="CC3399"/>
            </a:solidFill>
          </c:spPr>
          <c:invertIfNegative val="0"/>
          <c:cat>
            <c:strRef>
              <c:f>DomesticDebt!$B$32:$AA$32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DomesticDebt!$B$44:$AA$44</c:f>
              <c:numCache>
                <c:formatCode>#,##0</c:formatCode>
                <c:ptCount val="26"/>
                <c:pt idx="0">
                  <c:v>60000</c:v>
                </c:pt>
              </c:numCache>
            </c:numRef>
          </c:val>
        </c:ser>
        <c:ser>
          <c:idx val="9"/>
          <c:order val="3"/>
          <c:tx>
            <c:strRef>
              <c:f>DomesticDebt!$A$43</c:f>
              <c:strCache>
                <c:ptCount val="1"/>
                <c:pt idx="0">
                  <c:v>Budget Deficit &amp; Debt Management PN / R-Bill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cat>
            <c:strRef>
              <c:f>DomesticDebt!$B$32:$AA$32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DomesticDebt!$B$43:$AA$43</c:f>
              <c:numCache>
                <c:formatCode>#,##0.00</c:formatCode>
                <c:ptCount val="26"/>
                <c:pt idx="0" formatCode="#,##0">
                  <c:v>10000.000000000007</c:v>
                </c:pt>
                <c:pt idx="1">
                  <c:v>30383.33</c:v>
                </c:pt>
                <c:pt idx="2" formatCode="#,##0">
                  <c:v>27218.33</c:v>
                </c:pt>
                <c:pt idx="3" formatCode="#,##0">
                  <c:v>19913.330000000002</c:v>
                </c:pt>
                <c:pt idx="4" formatCode="#,##0">
                  <c:v>13873.33</c:v>
                </c:pt>
                <c:pt idx="5" formatCode="#,##0">
                  <c:v>1383.33</c:v>
                </c:pt>
                <c:pt idx="6" formatCode="#,##0">
                  <c:v>1383.33</c:v>
                </c:pt>
                <c:pt idx="7" formatCode="#,##0">
                  <c:v>1383.33</c:v>
                </c:pt>
                <c:pt idx="8" formatCode="#,##0">
                  <c:v>350</c:v>
                </c:pt>
                <c:pt idx="9" formatCode="#,##0">
                  <c:v>4500</c:v>
                </c:pt>
                <c:pt idx="14" formatCode="#,##0">
                  <c:v>2400</c:v>
                </c:pt>
                <c:pt idx="17" formatCode="#,##0">
                  <c:v>3900</c:v>
                </c:pt>
                <c:pt idx="23" formatCode="#,##0">
                  <c:v>29400</c:v>
                </c:pt>
                <c:pt idx="24" formatCode="#,##0">
                  <c:v>27600</c:v>
                </c:pt>
              </c:numCache>
            </c:numRef>
          </c:val>
        </c:ser>
        <c:ser>
          <c:idx val="8"/>
          <c:order val="4"/>
          <c:tx>
            <c:strRef>
              <c:f>DomesticDebt!$A$42</c:f>
              <c:strCache>
                <c:ptCount val="1"/>
                <c:pt idx="0">
                  <c:v>Budget Deficit &amp; Debt Management Saving Bond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DomesticDebt!$B$32:$AA$32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DomesticDebt!$B$42:$AA$42</c:f>
              <c:numCache>
                <c:formatCode>#,##0.000</c:formatCode>
                <c:ptCount val="26"/>
                <c:pt idx="1">
                  <c:v>7296.768</c:v>
                </c:pt>
                <c:pt idx="2" formatCode="#,##0">
                  <c:v>8000</c:v>
                </c:pt>
                <c:pt idx="3" formatCode="#,##0.00">
                  <c:v>39577.24</c:v>
                </c:pt>
                <c:pt idx="6">
                  <c:v>11835.547</c:v>
                </c:pt>
                <c:pt idx="9">
                  <c:v>18164.453000000001</c:v>
                </c:pt>
                <c:pt idx="10">
                  <c:v>12141.468000000001</c:v>
                </c:pt>
              </c:numCache>
            </c:numRef>
          </c:val>
        </c:ser>
        <c:ser>
          <c:idx val="7"/>
          <c:order val="5"/>
          <c:tx>
            <c:strRef>
              <c:f>DomesticDebt!$A$41</c:f>
              <c:strCache>
                <c:ptCount val="1"/>
                <c:pt idx="0">
                  <c:v>Budget Deficit &amp; Debt Management Bond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cat>
            <c:strRef>
              <c:f>DomesticDebt!$B$32:$AA$32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DomesticDebt!$B$41:$AA$41</c:f>
              <c:numCache>
                <c:formatCode>#,##0.000</c:formatCode>
                <c:ptCount val="26"/>
                <c:pt idx="0" formatCode="#,##0">
                  <c:v>35950.000000000015</c:v>
                </c:pt>
                <c:pt idx="1">
                  <c:v>84039.978000000003</c:v>
                </c:pt>
                <c:pt idx="2" formatCode="#,##0">
                  <c:v>124512.952</c:v>
                </c:pt>
                <c:pt idx="3">
                  <c:v>94671.346999999994</c:v>
                </c:pt>
                <c:pt idx="4" formatCode="#,##0">
                  <c:v>368877.42700000003</c:v>
                </c:pt>
                <c:pt idx="5">
                  <c:v>18291.002</c:v>
                </c:pt>
                <c:pt idx="7" formatCode="#,##0">
                  <c:v>286103.51</c:v>
                </c:pt>
                <c:pt idx="8" formatCode="#,##0">
                  <c:v>76700</c:v>
                </c:pt>
                <c:pt idx="9" formatCode="#,##0">
                  <c:v>31000</c:v>
                </c:pt>
                <c:pt idx="10" formatCode="#,##0">
                  <c:v>47000</c:v>
                </c:pt>
                <c:pt idx="11">
                  <c:v>9655.8029999999999</c:v>
                </c:pt>
                <c:pt idx="12" formatCode="#,##0">
                  <c:v>239798</c:v>
                </c:pt>
                <c:pt idx="13" formatCode="#,##0">
                  <c:v>136252</c:v>
                </c:pt>
                <c:pt idx="15" formatCode="#,##0">
                  <c:v>41900</c:v>
                </c:pt>
                <c:pt idx="16" formatCode="#,##0">
                  <c:v>33581</c:v>
                </c:pt>
                <c:pt idx="18">
                  <c:v>176378.98300000001</c:v>
                </c:pt>
                <c:pt idx="19" formatCode="#,##0">
                  <c:v>5500</c:v>
                </c:pt>
                <c:pt idx="20" formatCode="#,##0">
                  <c:v>20000</c:v>
                </c:pt>
                <c:pt idx="21" formatCode="#,##0">
                  <c:v>95936</c:v>
                </c:pt>
                <c:pt idx="22" formatCode="#,##0">
                  <c:v>76000</c:v>
                </c:pt>
                <c:pt idx="25" formatCode="#,##0">
                  <c:v>158902</c:v>
                </c:pt>
              </c:numCache>
            </c:numRef>
          </c:val>
        </c:ser>
        <c:ser>
          <c:idx val="11"/>
          <c:order val="6"/>
          <c:tx>
            <c:strRef>
              <c:f>DomesticDebt!$A$40</c:f>
              <c:strCache>
                <c:ptCount val="1"/>
                <c:pt idx="0">
                  <c:v>Water Decree Term Loan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cat>
            <c:strRef>
              <c:f>DomesticDebt!$B$32:$AA$32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DomesticDebt!$B$40:$AA$40</c:f>
              <c:numCache>
                <c:formatCode>#,##0</c:formatCode>
                <c:ptCount val="26"/>
                <c:pt idx="1">
                  <c:v>23423</c:v>
                </c:pt>
              </c:numCache>
            </c:numRef>
          </c:val>
        </c:ser>
        <c:ser>
          <c:idx val="6"/>
          <c:order val="7"/>
          <c:tx>
            <c:strRef>
              <c:f>DomesticDebt!$A$39</c:f>
              <c:strCache>
                <c:ptCount val="1"/>
                <c:pt idx="0">
                  <c:v>TKK PN / term loan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DomesticDebt!$B$32:$AA$32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DomesticDebt!$B$39:$AA$39</c:f>
              <c:numCache>
                <c:formatCode>#,##0</c:formatCode>
                <c:ptCount val="26"/>
                <c:pt idx="3">
                  <c:v>1381</c:v>
                </c:pt>
                <c:pt idx="8">
                  <c:v>18900</c:v>
                </c:pt>
                <c:pt idx="13">
                  <c:v>15700</c:v>
                </c:pt>
              </c:numCache>
            </c:numRef>
          </c:val>
        </c:ser>
        <c:ser>
          <c:idx val="5"/>
          <c:order val="8"/>
          <c:tx>
            <c:strRef>
              <c:f>DomesticDebt!$A$38</c:f>
              <c:strCache>
                <c:ptCount val="1"/>
                <c:pt idx="0">
                  <c:v>TKK Bond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DomesticDebt!$B$32:$AA$32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DomesticDebt!$B$38:$AA$38</c:f>
              <c:numCache>
                <c:formatCode>#,##0.00</c:formatCode>
                <c:ptCount val="26"/>
                <c:pt idx="1">
                  <c:v>86630.29</c:v>
                </c:pt>
                <c:pt idx="2" formatCode="#,##0">
                  <c:v>16000</c:v>
                </c:pt>
                <c:pt idx="4" formatCode="#,##0">
                  <c:v>10000</c:v>
                </c:pt>
                <c:pt idx="6" formatCode="#,##0">
                  <c:v>100872</c:v>
                </c:pt>
                <c:pt idx="11" formatCode="#,##0">
                  <c:v>43000</c:v>
                </c:pt>
                <c:pt idx="13" formatCode="#,##0">
                  <c:v>9000</c:v>
                </c:pt>
                <c:pt idx="16" formatCode="#,##0">
                  <c:v>35000</c:v>
                </c:pt>
                <c:pt idx="18" formatCode="#,##0">
                  <c:v>13000</c:v>
                </c:pt>
                <c:pt idx="22" formatCode="#,##0">
                  <c:v>12000</c:v>
                </c:pt>
              </c:numCache>
            </c:numRef>
          </c:val>
        </c:ser>
        <c:ser>
          <c:idx val="4"/>
          <c:order val="9"/>
          <c:tx>
            <c:strRef>
              <c:f>DomesticDebt!$A$37</c:f>
              <c:strCache>
                <c:ptCount val="1"/>
                <c:pt idx="0">
                  <c:v>FIDF1 PN / R-Bill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cat>
            <c:strRef>
              <c:f>DomesticDebt!$B$32:$AA$32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DomesticDebt!$B$37:$AA$37</c:f>
              <c:numCache>
                <c:formatCode>#,##0.00</c:formatCode>
                <c:ptCount val="26"/>
                <c:pt idx="1">
                  <c:v>36698.33</c:v>
                </c:pt>
                <c:pt idx="2">
                  <c:v>47863.31</c:v>
                </c:pt>
              </c:numCache>
            </c:numRef>
          </c:val>
        </c:ser>
        <c:ser>
          <c:idx val="3"/>
          <c:order val="10"/>
          <c:tx>
            <c:strRef>
              <c:f>DomesticDebt!$A$36</c:f>
              <c:strCache>
                <c:ptCount val="1"/>
                <c:pt idx="0">
                  <c:v>FIDF1 Bond</c:v>
                </c:pt>
              </c:strCache>
            </c:strRef>
          </c:tx>
          <c:spPr>
            <a:solidFill>
              <a:srgbClr val="FFCCCC"/>
            </a:solidFill>
          </c:spPr>
          <c:invertIfNegative val="0"/>
          <c:cat>
            <c:strRef>
              <c:f>DomesticDebt!$B$32:$AA$32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DomesticDebt!$B$36:$AA$36</c:f>
              <c:numCache>
                <c:formatCode>#,##0</c:formatCode>
                <c:ptCount val="26"/>
                <c:pt idx="2">
                  <c:v>89000</c:v>
                </c:pt>
                <c:pt idx="3">
                  <c:v>25000</c:v>
                </c:pt>
                <c:pt idx="5">
                  <c:v>37900</c:v>
                </c:pt>
                <c:pt idx="6">
                  <c:v>40000</c:v>
                </c:pt>
                <c:pt idx="8">
                  <c:v>71000</c:v>
                </c:pt>
                <c:pt idx="11">
                  <c:v>74000</c:v>
                </c:pt>
              </c:numCache>
            </c:numRef>
          </c:val>
        </c:ser>
        <c:ser>
          <c:idx val="2"/>
          <c:order val="11"/>
          <c:tx>
            <c:strRef>
              <c:f>DomesticDebt!$A$35</c:f>
              <c:strCache>
                <c:ptCount val="1"/>
                <c:pt idx="0">
                  <c:v>FIDF 3 PN / term loan / R-Bill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DomesticDebt!$B$32:$AA$32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DomesticDebt!$B$35:$AA$35</c:f>
              <c:numCache>
                <c:formatCode>#,##0.00</c:formatCode>
                <c:ptCount val="26"/>
                <c:pt idx="0">
                  <c:v>6731.0200000000041</c:v>
                </c:pt>
                <c:pt idx="1">
                  <c:v>7087.23</c:v>
                </c:pt>
                <c:pt idx="3">
                  <c:v>6957.9100000000008</c:v>
                </c:pt>
              </c:numCache>
            </c:numRef>
          </c:val>
        </c:ser>
        <c:ser>
          <c:idx val="1"/>
          <c:order val="12"/>
          <c:tx>
            <c:strRef>
              <c:f>DomesticDebt!$A$34</c:f>
              <c:strCache>
                <c:ptCount val="1"/>
                <c:pt idx="0">
                  <c:v>FIDF 3 Saving Bond</c:v>
                </c:pt>
              </c:strCache>
            </c:strRef>
          </c:tx>
          <c:invertIfNegative val="0"/>
          <c:cat>
            <c:strRef>
              <c:f>DomesticDebt!$B$32:$AA$32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DomesticDebt!$B$34:$AA$34</c:f>
              <c:numCache>
                <c:formatCode>#,##0.00</c:formatCode>
                <c:ptCount val="26"/>
              </c:numCache>
            </c:numRef>
          </c:val>
        </c:ser>
        <c:ser>
          <c:idx val="0"/>
          <c:order val="13"/>
          <c:tx>
            <c:strRef>
              <c:f>DomesticDebt!$A$33</c:f>
              <c:strCache>
                <c:ptCount val="1"/>
                <c:pt idx="0">
                  <c:v>FIDF 3 Bond</c:v>
                </c:pt>
              </c:strCache>
            </c:strRef>
          </c:tx>
          <c:invertIfNegative val="0"/>
          <c:cat>
            <c:strRef>
              <c:f>DomesticDebt!$B$32:$AA$32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DomesticDebt!$B$33:$AA$33</c:f>
              <c:numCache>
                <c:formatCode>#,##0</c:formatCode>
                <c:ptCount val="26"/>
                <c:pt idx="1">
                  <c:v>60450</c:v>
                </c:pt>
                <c:pt idx="2">
                  <c:v>128000</c:v>
                </c:pt>
                <c:pt idx="3">
                  <c:v>75000</c:v>
                </c:pt>
                <c:pt idx="4">
                  <c:v>113800</c:v>
                </c:pt>
                <c:pt idx="6">
                  <c:v>69000</c:v>
                </c:pt>
                <c:pt idx="8">
                  <c:v>116850</c:v>
                </c:pt>
                <c:pt idx="11">
                  <c:v>28198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548672"/>
        <c:axId val="89550208"/>
      </c:barChart>
      <c:catAx>
        <c:axId val="8954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89548672"/>
        <c:crossesAt val="1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900" baseline="0">
          <a:latin typeface="Cordia New" pitchFamily="34" charset="-34"/>
          <a:cs typeface="Cordia New" pitchFamily="34" charset="-34"/>
        </a:defRPr>
      </a:pPr>
      <a:endParaRPr lang="th-TH"/>
    </a:p>
  </c:txPr>
  <c:printSettings>
    <c:headerFooter>
      <c:oddFooter>&amp;R&amp;F</c:oddFooter>
    </c:headerFooter>
    <c:pageMargins b="0.74803149606299613" l="0.70866141732283916" r="0.70866141732283916" t="0.74803149606299613" header="0.31496062992126361" footer="0.3149606299212636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0</xdr:row>
      <xdr:rowOff>161925</xdr:rowOff>
    </xdr:from>
    <xdr:to>
      <xdr:col>11</xdr:col>
      <xdr:colOff>447675</xdr:colOff>
      <xdr:row>29</xdr:row>
      <xdr:rowOff>180975</xdr:rowOff>
    </xdr:to>
    <xdr:graphicFrame macro="">
      <xdr:nvGraphicFramePr>
        <xdr:cNvPr id="14443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1:AS77"/>
  <sheetViews>
    <sheetView showGridLines="0" tabSelected="1" topLeftCell="A31" zoomScaleSheetLayoutView="85" workbookViewId="0">
      <selection activeCell="J51" sqref="J51"/>
    </sheetView>
  </sheetViews>
  <sheetFormatPr defaultRowHeight="21.75"/>
  <cols>
    <col min="1" max="1" width="40.140625" customWidth="1"/>
    <col min="2" max="2" width="11.85546875" bestFit="1" customWidth="1"/>
    <col min="3" max="6" width="10.7109375" customWidth="1"/>
    <col min="7" max="7" width="10.42578125" customWidth="1"/>
    <col min="8" max="27" width="10.7109375" customWidth="1"/>
    <col min="28" max="28" width="13.28515625" customWidth="1"/>
    <col min="29" max="29" width="11.7109375" bestFit="1" customWidth="1"/>
    <col min="30" max="30" width="10.7109375" customWidth="1"/>
    <col min="31" max="31" width="10" bestFit="1" customWidth="1"/>
    <col min="33" max="33" width="9.85546875" bestFit="1" customWidth="1"/>
  </cols>
  <sheetData>
    <row r="31" spans="1:45" ht="22.5">
      <c r="B31" s="5"/>
      <c r="C31" s="5"/>
      <c r="D31" s="5"/>
      <c r="E31" s="5"/>
      <c r="F31" s="6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6"/>
      <c r="AE31" s="4"/>
      <c r="AF31" s="4"/>
      <c r="AG31" s="4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>
      <c r="A32" s="13" t="s">
        <v>0</v>
      </c>
      <c r="B32" s="14" t="s">
        <v>1</v>
      </c>
      <c r="C32" s="14">
        <v>2016</v>
      </c>
      <c r="D32" s="14">
        <v>2017</v>
      </c>
      <c r="E32" s="14">
        <v>2018</v>
      </c>
      <c r="F32" s="14">
        <v>2019</v>
      </c>
      <c r="G32" s="14">
        <v>2020</v>
      </c>
      <c r="H32" s="14" t="s">
        <v>2</v>
      </c>
      <c r="I32" s="14">
        <v>2022</v>
      </c>
      <c r="J32" s="14" t="s">
        <v>4</v>
      </c>
      <c r="K32" s="14">
        <v>2024</v>
      </c>
      <c r="L32" s="14">
        <v>2025</v>
      </c>
      <c r="M32" s="14">
        <v>2026</v>
      </c>
      <c r="N32" s="14">
        <v>2028</v>
      </c>
      <c r="O32" s="14">
        <v>2029</v>
      </c>
      <c r="P32" s="14">
        <v>2030</v>
      </c>
      <c r="Q32" s="14">
        <v>2031</v>
      </c>
      <c r="R32" s="14">
        <v>2032</v>
      </c>
      <c r="S32" s="13">
        <v>2037</v>
      </c>
      <c r="T32" s="13">
        <v>2038</v>
      </c>
      <c r="U32" s="13">
        <v>2039</v>
      </c>
      <c r="V32" s="13">
        <v>2040</v>
      </c>
      <c r="W32" s="13">
        <v>2041</v>
      </c>
      <c r="X32" s="13">
        <v>2044</v>
      </c>
      <c r="Y32" s="13">
        <v>2047</v>
      </c>
      <c r="Z32" s="13">
        <v>2052</v>
      </c>
      <c r="AA32" s="13">
        <v>2061</v>
      </c>
      <c r="AB32" s="12" t="s">
        <v>6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1" s="7" customFormat="1">
      <c r="A33" s="15" t="s">
        <v>7</v>
      </c>
      <c r="B33" s="15"/>
      <c r="C33" s="16">
        <f>36000+8000+6450+10000</f>
        <v>60450</v>
      </c>
      <c r="D33" s="16">
        <f>15000+16000+15000+20000+11500+19000+17500+14000</f>
        <v>128000</v>
      </c>
      <c r="E33" s="16">
        <f>12000+12000+10000+10000+10000+21000</f>
        <v>75000</v>
      </c>
      <c r="F33" s="16">
        <f>54800+9000+11000+12000+12000+15000</f>
        <v>113800</v>
      </c>
      <c r="G33" s="15"/>
      <c r="H33" s="16">
        <f>15000+4000+7000+3000+15000+8000+8000+9000</f>
        <v>69000</v>
      </c>
      <c r="I33" s="16"/>
      <c r="J33" s="16">
        <f>101850+15000</f>
        <v>116850</v>
      </c>
      <c r="K33" s="16"/>
      <c r="L33" s="16"/>
      <c r="M33" s="16">
        <f>14000+14198</f>
        <v>28198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5">
        <f t="shared" ref="AB33:AB48" si="0">SUM(B33:AA33)</f>
        <v>591298</v>
      </c>
    </row>
    <row r="34" spans="1:41" s="8" customFormat="1">
      <c r="A34" s="19" t="s">
        <v>8</v>
      </c>
      <c r="B34" s="15"/>
      <c r="C34" s="15"/>
      <c r="D34" s="15"/>
      <c r="E34" s="15"/>
      <c r="F34" s="15"/>
      <c r="G34" s="15"/>
      <c r="H34" s="15"/>
      <c r="I34" s="15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5">
        <f t="shared" si="0"/>
        <v>0</v>
      </c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s="8" customFormat="1">
      <c r="A35" s="30" t="s">
        <v>14</v>
      </c>
      <c r="B35" s="37">
        <f>4577.7+6731.02-16.42+16595+2863.31-2863.31-782.67-20373.61+16000-16000</f>
        <v>6731.0200000000041</v>
      </c>
      <c r="C35" s="15">
        <f>4320.7+6067.07+3669.998-482.178-421.29-6067.07</f>
        <v>7087.23</v>
      </c>
      <c r="D35" s="15"/>
      <c r="E35" s="37">
        <f>2797.97-141.38-33.52-38.76+17603.29-5586.57+820.45-3.37+3778.6+595-27.91-0.76-5000-6984.68-820.45</f>
        <v>6957.9100000000008</v>
      </c>
      <c r="F35" s="15"/>
      <c r="G35" s="15"/>
      <c r="H35" s="15"/>
      <c r="I35" s="15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5">
        <f t="shared" si="0"/>
        <v>20776.160000000003</v>
      </c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s="8" customFormat="1">
      <c r="A36" s="22" t="s">
        <v>9</v>
      </c>
      <c r="B36" s="39"/>
      <c r="C36" s="23"/>
      <c r="D36" s="23">
        <f>8000+7000+8000+7000+8000+8000+9000+17000+17000</f>
        <v>89000</v>
      </c>
      <c r="E36" s="23">
        <f>23000+2000</f>
        <v>25000</v>
      </c>
      <c r="F36" s="23"/>
      <c r="G36" s="23">
        <f>6000+4000+4000+900+3000+6000+3000+3000+5000+3000</f>
        <v>37900</v>
      </c>
      <c r="H36" s="23">
        <v>40000</v>
      </c>
      <c r="I36" s="23"/>
      <c r="J36" s="23">
        <f>14000+13000+12000+16000+16000</f>
        <v>71000</v>
      </c>
      <c r="K36" s="23"/>
      <c r="L36" s="23"/>
      <c r="M36" s="23">
        <f>35000+12000+14000+13000</f>
        <v>74000</v>
      </c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15">
        <f t="shared" si="0"/>
        <v>336900</v>
      </c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s="8" customFormat="1">
      <c r="A37" s="22" t="s">
        <v>19</v>
      </c>
      <c r="B37" s="39"/>
      <c r="C37" s="36">
        <f>39836-3105.67-32</f>
        <v>36698.33</v>
      </c>
      <c r="D37" s="36">
        <f>39000+50099.2+18000-2900-1600-17000-14000-17000-1636.69-5099.2</f>
        <v>47863.31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15">
        <f t="shared" si="0"/>
        <v>84561.64</v>
      </c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s="8" customFormat="1">
      <c r="A38" s="20" t="s">
        <v>17</v>
      </c>
      <c r="B38" s="28"/>
      <c r="C38" s="27">
        <f>82230.29+4400</f>
        <v>86630.29</v>
      </c>
      <c r="D38" s="26">
        <v>16000</v>
      </c>
      <c r="E38" s="26"/>
      <c r="F38" s="26">
        <v>10000</v>
      </c>
      <c r="G38" s="26"/>
      <c r="H38" s="26">
        <f>40000+15000+15000+7180+13692+10000</f>
        <v>100872</v>
      </c>
      <c r="I38" s="26"/>
      <c r="J38" s="26"/>
      <c r="K38" s="26"/>
      <c r="L38" s="26"/>
      <c r="M38" s="26">
        <f>6000+6000+8000+8000+8000+7000</f>
        <v>43000</v>
      </c>
      <c r="N38" s="26"/>
      <c r="O38" s="26">
        <v>9000</v>
      </c>
      <c r="P38" s="26"/>
      <c r="Q38" s="26"/>
      <c r="R38" s="26">
        <f>9000+7000+7000+6000+6000</f>
        <v>35000</v>
      </c>
      <c r="S38" s="26"/>
      <c r="T38" s="26">
        <v>13000</v>
      </c>
      <c r="U38" s="26"/>
      <c r="V38" s="26"/>
      <c r="W38" s="26"/>
      <c r="X38" s="26">
        <v>12000</v>
      </c>
      <c r="Y38" s="26"/>
      <c r="Z38" s="26"/>
      <c r="AA38" s="26"/>
      <c r="AB38" s="15">
        <f t="shared" si="0"/>
        <v>325502.28999999998</v>
      </c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s="8" customFormat="1">
      <c r="A39" s="20" t="s">
        <v>18</v>
      </c>
      <c r="B39" s="27"/>
      <c r="C39" s="28"/>
      <c r="D39" s="26"/>
      <c r="E39" s="26">
        <f>1381</f>
        <v>1381</v>
      </c>
      <c r="F39" s="26"/>
      <c r="G39" s="26"/>
      <c r="H39" s="26"/>
      <c r="I39" s="26"/>
      <c r="J39" s="26">
        <v>18900</v>
      </c>
      <c r="K39" s="26"/>
      <c r="L39" s="26"/>
      <c r="M39" s="26"/>
      <c r="N39" s="26"/>
      <c r="O39" s="26">
        <v>15700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15">
        <f t="shared" si="0"/>
        <v>35981</v>
      </c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s="8" customFormat="1">
      <c r="A40" s="32" t="s">
        <v>15</v>
      </c>
      <c r="B40" s="27"/>
      <c r="C40" s="33">
        <f>3500+900+500+1000+1000+500+2600+1500+1250+1000+1000+1000+1000+500+1000+1000+500+500+750+350+300+650+393+200+200+200+130</f>
        <v>23423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15">
        <f t="shared" si="0"/>
        <v>23423</v>
      </c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s="10" customFormat="1">
      <c r="A41" s="21" t="s">
        <v>10</v>
      </c>
      <c r="B41" s="24">
        <f>157522+7000+8000+8000+8000+8000+7000+16000-20000+15000+20000-76235.197-46000-76336.803</f>
        <v>35950.000000000015</v>
      </c>
      <c r="C41" s="35">
        <f>16000+13000+14000+10000+16000+20000+20000+20000+9000+10000-63960.022</f>
        <v>84039.978000000003</v>
      </c>
      <c r="D41" s="24">
        <f>40000+43830+18000+22682.952</f>
        <v>124512.952</v>
      </c>
      <c r="E41" s="35">
        <f>7000+10000+9707+11000+5000+9925+10000+12000+12000+8039.347</f>
        <v>94671.346999999994</v>
      </c>
      <c r="F41" s="24">
        <f>145994+13000+14000+14000+14000+12000+15000+20000+20000+20000+20000+20000+20000+20883.427</f>
        <v>368877.42700000003</v>
      </c>
      <c r="G41" s="35">
        <v>18291.002</v>
      </c>
      <c r="H41" s="24"/>
      <c r="I41" s="24">
        <f>10000+7000+7000+10000+12000+13000+5110+17000+15000+15000+12000+13000+10000+11000+12000+12000+9435.51+23976+23803+24000+23779</f>
        <v>286103.51</v>
      </c>
      <c r="J41" s="24">
        <f>26000+50700</f>
        <v>76700</v>
      </c>
      <c r="K41" s="24">
        <v>31000</v>
      </c>
      <c r="L41" s="24">
        <v>47000</v>
      </c>
      <c r="M41" s="35">
        <v>9655.8029999999999</v>
      </c>
      <c r="N41" s="24">
        <f>6000+6000+5950+6000+5000+7000+7000+7000+5000+7000+10000+8000+9000+8000+9000+6010+7000+40000+7000+15000+3700+3070+5000+4160+5000+5000+3570+1900+4000+4000+4438+5000+5000+5000</f>
        <v>239798</v>
      </c>
      <c r="O41" s="24">
        <f>50000+7000+10000+10000+6534+10000+7978+9000+6160+9000+10580</f>
        <v>136252</v>
      </c>
      <c r="P41" s="24"/>
      <c r="Q41" s="24">
        <f>2900+6000+6000+8000+10000+9000</f>
        <v>41900</v>
      </c>
      <c r="R41" s="24">
        <f>7872+8000+8000+3709+6000</f>
        <v>33581</v>
      </c>
      <c r="S41" s="24"/>
      <c r="T41" s="35">
        <f>2500+2500+30000+8000+8000+8000+12000+13000+15000+8000+5970+18015.113+9000+9000+10000+17393.87</f>
        <v>176378.98300000001</v>
      </c>
      <c r="U41" s="24">
        <f>2500+3000</f>
        <v>5500</v>
      </c>
      <c r="V41" s="24">
        <f>3000+3000+3000+3000+3000+5000</f>
        <v>20000</v>
      </c>
      <c r="W41" s="24">
        <f>3000+3000+5000+5000+6000+5000+7500+4436+8500+6000+7500+8000+6000+6000+6000+4000+5000</f>
        <v>95936</v>
      </c>
      <c r="X41" s="38">
        <f>5000+9000+9000+9000+8000+9000+9000+10000+8000</f>
        <v>76000</v>
      </c>
      <c r="Y41" s="24"/>
      <c r="Z41" s="24"/>
      <c r="AA41" s="24">
        <f>3500+4500+5000+5000+5000+5205+7000+6000+8000+7000+6000+6000+4000+5000+5000+5000+8000+9000+9000+8691+7246+5972+3788+6000+7000+7000</f>
        <v>158902</v>
      </c>
      <c r="AB41" s="15">
        <f t="shared" si="0"/>
        <v>2161050.0020000003</v>
      </c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s="10" customFormat="1">
      <c r="A42" s="21" t="s">
        <v>11</v>
      </c>
      <c r="B42" s="24"/>
      <c r="C42" s="35">
        <f>1125.96+927.843+886.971+669.412+265.777+54.284+1468.89+715.493+351.095+334.539+496.504</f>
        <v>7296.768</v>
      </c>
      <c r="D42" s="24">
        <f>1294.084+1146.51+710.299+849.107+1009.72+1182.929+1276.673+530.678</f>
        <v>8000</v>
      </c>
      <c r="E42" s="25">
        <f>31577.24+1463.294+537.144+896.809+1102.753+4000</f>
        <v>39577.24</v>
      </c>
      <c r="F42" s="24"/>
      <c r="G42" s="24"/>
      <c r="H42" s="35">
        <v>11835.547</v>
      </c>
      <c r="I42" s="25"/>
      <c r="J42" s="24"/>
      <c r="K42" s="35">
        <v>18164.453000000001</v>
      </c>
      <c r="L42" s="35">
        <v>12141.468000000001</v>
      </c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15">
        <f t="shared" si="0"/>
        <v>97015.475999999995</v>
      </c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s="10" customFormat="1">
      <c r="A43" s="21" t="s">
        <v>16</v>
      </c>
      <c r="B43" s="38">
        <f>6000-1300+11432.5+1033.33+350-8432.5+25800-516.67-175-25800+37010+5800-4700+10000-3000+9014-516.67-10000-175-5799.99-46024+10000</f>
        <v>10000.000000000007</v>
      </c>
      <c r="C43" s="25">
        <f>9000+1033.33+350+20000</f>
        <v>30383.33</v>
      </c>
      <c r="D43" s="24">
        <f>10000+1033.33+350+4200+11635</f>
        <v>27218.33</v>
      </c>
      <c r="E43" s="24">
        <f>1033.33+350+5495+13035</f>
        <v>19913.330000000002</v>
      </c>
      <c r="F43" s="24">
        <f>1033.33+350+6000+6490</f>
        <v>13873.33</v>
      </c>
      <c r="G43" s="24">
        <f>1033.33+350</f>
        <v>1383.33</v>
      </c>
      <c r="H43" s="24">
        <f>1033.33+350</f>
        <v>1383.33</v>
      </c>
      <c r="I43" s="24">
        <f>1033.33+350</f>
        <v>1383.33</v>
      </c>
      <c r="J43" s="24">
        <v>350</v>
      </c>
      <c r="K43" s="24">
        <v>4500</v>
      </c>
      <c r="L43" s="24"/>
      <c r="M43" s="24"/>
      <c r="N43" s="24"/>
      <c r="O43" s="24"/>
      <c r="P43" s="24">
        <v>2400</v>
      </c>
      <c r="Q43" s="24"/>
      <c r="R43" s="24"/>
      <c r="S43" s="24">
        <f>3700+200</f>
        <v>3900</v>
      </c>
      <c r="T43" s="24"/>
      <c r="U43" s="24"/>
      <c r="V43" s="24"/>
      <c r="W43" s="24"/>
      <c r="X43" s="24"/>
      <c r="Y43" s="24">
        <v>29400</v>
      </c>
      <c r="Z43" s="24">
        <v>27600</v>
      </c>
      <c r="AA43" s="24"/>
      <c r="AB43" s="15">
        <f t="shared" si="0"/>
        <v>173688.31</v>
      </c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s="10" customFormat="1">
      <c r="A44" s="21" t="s">
        <v>3</v>
      </c>
      <c r="B44" s="24">
        <v>60000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15">
        <f t="shared" si="0"/>
        <v>60000</v>
      </c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s="10" customFormat="1">
      <c r="A45" s="31" t="s">
        <v>20</v>
      </c>
      <c r="B45" s="40"/>
      <c r="C45" s="34">
        <f>7664.92+2703.24+1494.95+3000+6737.86+995.71+512.62+167.12+771.8+52.12+297.72-82.4-25.59+95.12</f>
        <v>24385.189999999995</v>
      </c>
      <c r="D45" s="34">
        <f>146.4+192.16+944.3+639.19+833.31+72.65+985.25+57.22+991.94+103.87</f>
        <v>4966.29</v>
      </c>
      <c r="E45" s="24"/>
      <c r="F45" s="24"/>
      <c r="G45" s="24"/>
      <c r="H45" s="24"/>
      <c r="I45" s="40">
        <v>20000</v>
      </c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15">
        <f t="shared" si="0"/>
        <v>49351.479999999996</v>
      </c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s="10" customFormat="1">
      <c r="A46" s="42" t="s">
        <v>21</v>
      </c>
      <c r="B46" s="43"/>
      <c r="C46" s="43">
        <v>6000</v>
      </c>
      <c r="D46" s="43">
        <f>1170+528+360+442+173</f>
        <v>2673</v>
      </c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15">
        <f t="shared" si="0"/>
        <v>8673</v>
      </c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s="11" customFormat="1" ht="21.75" customHeight="1">
      <c r="A47" s="29" t="s">
        <v>12</v>
      </c>
      <c r="B47" s="41">
        <f>SUM(B33:B46)</f>
        <v>112681.02000000002</v>
      </c>
      <c r="C47" s="41">
        <f t="shared" ref="C47:AB47" si="1">SUM(C33:C46)</f>
        <v>366394.11599999998</v>
      </c>
      <c r="D47" s="41">
        <f t="shared" si="1"/>
        <v>448233.88199999998</v>
      </c>
      <c r="E47" s="41">
        <f t="shared" si="1"/>
        <v>262500.82699999999</v>
      </c>
      <c r="F47" s="41">
        <f t="shared" si="1"/>
        <v>506550.75700000004</v>
      </c>
      <c r="G47" s="41">
        <f t="shared" si="1"/>
        <v>57574.332000000002</v>
      </c>
      <c r="H47" s="41">
        <f t="shared" si="1"/>
        <v>223090.87699999998</v>
      </c>
      <c r="I47" s="41">
        <f t="shared" si="1"/>
        <v>307486.84000000003</v>
      </c>
      <c r="J47" s="41">
        <f t="shared" si="1"/>
        <v>283800</v>
      </c>
      <c r="K47" s="41">
        <f t="shared" si="1"/>
        <v>53664.453000000001</v>
      </c>
      <c r="L47" s="41">
        <f t="shared" si="1"/>
        <v>59141.468000000001</v>
      </c>
      <c r="M47" s="41">
        <f t="shared" si="1"/>
        <v>154853.80300000001</v>
      </c>
      <c r="N47" s="41">
        <f t="shared" si="1"/>
        <v>239798</v>
      </c>
      <c r="O47" s="41">
        <f t="shared" si="1"/>
        <v>160952</v>
      </c>
      <c r="P47" s="41">
        <f t="shared" si="1"/>
        <v>2400</v>
      </c>
      <c r="Q47" s="41">
        <f t="shared" si="1"/>
        <v>41900</v>
      </c>
      <c r="R47" s="41">
        <f t="shared" si="1"/>
        <v>68581</v>
      </c>
      <c r="S47" s="41">
        <f t="shared" si="1"/>
        <v>3900</v>
      </c>
      <c r="T47" s="41">
        <f t="shared" si="1"/>
        <v>189378.98300000001</v>
      </c>
      <c r="U47" s="41">
        <f t="shared" si="1"/>
        <v>5500</v>
      </c>
      <c r="V47" s="41">
        <f t="shared" si="1"/>
        <v>20000</v>
      </c>
      <c r="W47" s="41">
        <f t="shared" si="1"/>
        <v>95936</v>
      </c>
      <c r="X47" s="41">
        <f t="shared" si="1"/>
        <v>88000</v>
      </c>
      <c r="Y47" s="41">
        <f t="shared" si="1"/>
        <v>29400</v>
      </c>
      <c r="Z47" s="41">
        <f t="shared" si="1"/>
        <v>27600</v>
      </c>
      <c r="AA47" s="41">
        <f t="shared" si="1"/>
        <v>158902</v>
      </c>
      <c r="AB47" s="41">
        <f t="shared" si="1"/>
        <v>3968220.358</v>
      </c>
    </row>
    <row r="48" spans="1:41">
      <c r="A48" s="29" t="s">
        <v>13</v>
      </c>
      <c r="B48" s="17">
        <f t="shared" ref="B48:O48" si="2">B47/$AB47</f>
        <v>2.839585754677992E-2</v>
      </c>
      <c r="C48" s="17">
        <f t="shared" si="2"/>
        <v>9.2332099264937031E-2</v>
      </c>
      <c r="D48" s="17">
        <f t="shared" si="2"/>
        <v>0.11295589497603196</v>
      </c>
      <c r="E48" s="17">
        <f t="shared" si="2"/>
        <v>6.6150768686722206E-2</v>
      </c>
      <c r="F48" s="17">
        <f t="shared" si="2"/>
        <v>0.1276518719477826</v>
      </c>
      <c r="G48" s="17">
        <f t="shared" si="2"/>
        <v>1.4508854550864134E-2</v>
      </c>
      <c r="H48" s="17">
        <f t="shared" si="2"/>
        <v>5.6219377169981238E-2</v>
      </c>
      <c r="I48" s="17">
        <f t="shared" si="2"/>
        <v>7.7487339981032383E-2</v>
      </c>
      <c r="J48" s="17">
        <f t="shared" si="2"/>
        <v>7.1518205743754712E-2</v>
      </c>
      <c r="K48" s="17">
        <f t="shared" si="2"/>
        <v>1.352355669760414E-2</v>
      </c>
      <c r="L48" s="17">
        <f t="shared" si="2"/>
        <v>1.4903776167764926E-2</v>
      </c>
      <c r="M48" s="17">
        <f t="shared" si="2"/>
        <v>3.9023488876521711E-2</v>
      </c>
      <c r="N48" s="17">
        <f t="shared" si="2"/>
        <v>6.0429607825725491E-2</v>
      </c>
      <c r="O48" s="17">
        <f t="shared" si="2"/>
        <v>4.0560247536535622E-2</v>
      </c>
      <c r="P48" s="17">
        <f t="shared" ref="P48" si="3">P47/$AB47</f>
        <v>6.0480512256875021E-4</v>
      </c>
      <c r="Q48" s="17">
        <f>Q47/$AB47</f>
        <v>1.0558889431512765E-2</v>
      </c>
      <c r="R48" s="17">
        <f>R47/$AB47</f>
        <v>1.728255837953644E-2</v>
      </c>
      <c r="S48" s="17">
        <f t="shared" ref="S48" si="4">S47/$AB47</f>
        <v>9.828083241742191E-4</v>
      </c>
      <c r="T48" s="17">
        <f>T47/$AB47</f>
        <v>4.7723907927191778E-2</v>
      </c>
      <c r="U48" s="17">
        <f>U47/$AB47</f>
        <v>1.3860117392200527E-3</v>
      </c>
      <c r="V48" s="17">
        <f>V47/$AB47</f>
        <v>5.0400426880729187E-3</v>
      </c>
      <c r="W48" s="17">
        <f>W47/$AB47</f>
        <v>2.4176076766148177E-2</v>
      </c>
      <c r="X48" s="17">
        <f t="shared" ref="X48:AA48" si="5">X47/$AB47</f>
        <v>2.2176187827520843E-2</v>
      </c>
      <c r="Y48" s="17">
        <f t="shared" si="5"/>
        <v>7.408862751467191E-3</v>
      </c>
      <c r="Z48" s="17">
        <f t="shared" si="5"/>
        <v>6.9552589095406275E-3</v>
      </c>
      <c r="AA48" s="17">
        <f t="shared" si="5"/>
        <v>4.0043643161008148E-2</v>
      </c>
      <c r="AB48" s="18">
        <f t="shared" si="0"/>
        <v>1</v>
      </c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5" s="2" customFormat="1">
      <c r="A4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4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3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3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3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3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3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3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3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3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3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3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3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3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3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3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3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3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3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3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3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3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3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>
      <c r="AC71" s="1"/>
      <c r="AD71" s="3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>
      <c r="AD72" s="3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7" spans="1:45">
      <c r="A77" t="s">
        <v>5</v>
      </c>
    </row>
  </sheetData>
  <phoneticPr fontId="9" type="noConversion"/>
  <printOptions horizontalCentered="1" verticalCentered="1"/>
  <pageMargins left="0" right="0" top="0.19685039370078741" bottom="0.19685039370078741" header="0.51181102362204722" footer="0"/>
  <pageSetup paperSize="9" scale="36" orientation="landscape" r:id="rId1"/>
  <headerFooter alignWithMargins="0"/>
  <ignoredErrors>
    <ignoredError sqref="J32:K32 B32:H3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DomesticDebt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Win98_Se</dc:creator>
  <cp:lastModifiedBy>ธีiะวัฒน์ อาบัลย์ (Teerawat Arban)</cp:lastModifiedBy>
  <cp:lastPrinted>2015-07-09T06:30:44Z</cp:lastPrinted>
  <dcterms:created xsi:type="dcterms:W3CDTF">2001-03-03T03:11:20Z</dcterms:created>
  <dcterms:modified xsi:type="dcterms:W3CDTF">2015-07-09T06:31:34Z</dcterms:modified>
</cp:coreProperties>
</file>