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40" yWindow="4905" windowWidth="15330" windowHeight="4695" tabRatio="445"/>
  </bookViews>
  <sheets>
    <sheet name="Sheet1" sheetId="44" r:id="rId1"/>
  </sheets>
  <calcPr calcId="144525"/>
</workbook>
</file>

<file path=xl/calcChain.xml><?xml version="1.0" encoding="utf-8"?>
<calcChain xmlns="http://schemas.openxmlformats.org/spreadsheetml/2006/main">
  <c r="B43" i="44"/>
  <c r="AA41" l="1"/>
  <c r="X41"/>
  <c r="T41"/>
  <c r="N41"/>
  <c r="M36"/>
  <c r="E35"/>
  <c r="E42"/>
  <c r="D37"/>
  <c r="C35"/>
  <c r="C37"/>
  <c r="B35"/>
  <c r="B41"/>
  <c r="D45"/>
  <c r="C45"/>
  <c r="O41" l="1"/>
  <c r="I41"/>
  <c r="C40"/>
  <c r="D46" l="1"/>
  <c r="AB46" l="1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B47"/>
  <c r="M33" l="1"/>
  <c r="F41" l="1"/>
  <c r="D41"/>
  <c r="D43" l="1"/>
  <c r="F43" l="1"/>
  <c r="E36"/>
  <c r="E39"/>
  <c r="J33" l="1"/>
  <c r="D42" l="1"/>
  <c r="J36" l="1"/>
  <c r="J41"/>
  <c r="E43" l="1"/>
  <c r="W41" l="1"/>
  <c r="C42"/>
  <c r="D33" l="1"/>
  <c r="R41" l="1"/>
  <c r="D36" l="1"/>
  <c r="I43" l="1"/>
  <c r="H43"/>
  <c r="G43"/>
  <c r="C43"/>
  <c r="H38" l="1"/>
  <c r="AB40" l="1"/>
  <c r="AB45"/>
  <c r="R38" l="1"/>
  <c r="F33"/>
  <c r="S43"/>
  <c r="C41" l="1"/>
  <c r="C38" l="1"/>
  <c r="C33" l="1"/>
  <c r="AB39" l="1"/>
  <c r="E33" l="1"/>
  <c r="Q41"/>
  <c r="M38"/>
  <c r="AB34" l="1"/>
  <c r="AB37"/>
  <c r="AB38"/>
  <c r="AB42"/>
  <c r="AB43"/>
  <c r="AB44"/>
  <c r="H33" l="1"/>
  <c r="AB33" s="1"/>
  <c r="G36"/>
  <c r="E41"/>
  <c r="U41"/>
  <c r="V41"/>
  <c r="AB36" l="1"/>
  <c r="AB41"/>
  <c r="AB35"/>
  <c r="AB47" l="1"/>
  <c r="AA48" s="1"/>
  <c r="S48" l="1"/>
  <c r="M48"/>
  <c r="J48"/>
  <c r="N48"/>
  <c r="W48"/>
  <c r="L48"/>
  <c r="G48"/>
  <c r="U48"/>
  <c r="R48"/>
  <c r="V48"/>
  <c r="T48"/>
  <c r="B48"/>
  <c r="H48"/>
  <c r="X48"/>
  <c r="C48"/>
  <c r="I48"/>
  <c r="Z48"/>
  <c r="D48"/>
  <c r="O48"/>
  <c r="E48"/>
  <c r="K48"/>
  <c r="Y48"/>
  <c r="P48"/>
  <c r="Q48"/>
  <c r="F48"/>
  <c r="AB48" l="1"/>
</calcChain>
</file>

<file path=xl/sharedStrings.xml><?xml version="1.0" encoding="utf-8"?>
<sst xmlns="http://schemas.openxmlformats.org/spreadsheetml/2006/main" count="22" uniqueCount="22">
  <si>
    <t>Fiscal Year</t>
  </si>
  <si>
    <t>2015</t>
  </si>
  <si>
    <t>2021</t>
  </si>
  <si>
    <t>T-Bill</t>
  </si>
  <si>
    <t>2023</t>
  </si>
  <si>
    <t>\</t>
  </si>
  <si>
    <t>Total</t>
  </si>
  <si>
    <t>FIDF 3 Bond</t>
  </si>
  <si>
    <t>FIDF 3 Saving Bond</t>
  </si>
  <si>
    <t>FIDF1 Bond</t>
  </si>
  <si>
    <t>Budget Deficit &amp; Debt Management Bond</t>
  </si>
  <si>
    <t>Budget Deficit &amp; Debt Management Saving Bond</t>
  </si>
  <si>
    <t>Total amount (million baht)</t>
  </si>
  <si>
    <t>Total mount (%)</t>
  </si>
  <si>
    <t>FIDF 3 PN / term loan / R-Bill</t>
  </si>
  <si>
    <t>Water Decree Term Loan</t>
  </si>
  <si>
    <t>Budget Deficit &amp; Debt Management PN / R-Bill</t>
  </si>
  <si>
    <t>TKK Bond</t>
  </si>
  <si>
    <t>TKK PN / term loan</t>
  </si>
  <si>
    <t>FIDF1 PN / R-Bill</t>
  </si>
  <si>
    <t>On-lending Term loan/Bond</t>
  </si>
  <si>
    <t>DPL Term Loan</t>
  </si>
</sst>
</file>

<file path=xl/styles.xml><?xml version="1.0" encoding="utf-8"?>
<styleSheet xmlns="http://schemas.openxmlformats.org/spreadsheetml/2006/main">
  <numFmts count="1">
    <numFmt numFmtId="187" formatCode="#,##0.000"/>
  </numFmts>
  <fonts count="18">
    <font>
      <sz val="14"/>
      <name val="Cordia New"/>
      <charset val="222"/>
    </font>
    <font>
      <sz val="14"/>
      <name val="Cordia New"/>
      <family val="2"/>
    </font>
    <font>
      <sz val="14"/>
      <color indexed="10"/>
      <name val="Cordia New"/>
      <family val="2"/>
      <charset val="222"/>
    </font>
    <font>
      <sz val="15"/>
      <color indexed="12"/>
      <name val="Univers Condensed"/>
      <family val="2"/>
    </font>
    <font>
      <sz val="15"/>
      <name val="Univers Condensed"/>
      <family val="2"/>
    </font>
    <font>
      <sz val="15"/>
      <color indexed="50"/>
      <name val="Univers Condensed"/>
      <family val="2"/>
    </font>
    <font>
      <sz val="14"/>
      <color indexed="56"/>
      <name val="Cordia New"/>
      <family val="2"/>
    </font>
    <font>
      <sz val="14"/>
      <color indexed="10"/>
      <name val="Cordia New"/>
      <family val="2"/>
    </font>
    <font>
      <sz val="10"/>
      <color indexed="57"/>
      <name val="Arial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4"/>
      <color indexed="56"/>
      <name val="Cordia New"/>
      <family val="2"/>
    </font>
    <font>
      <sz val="14"/>
      <color theme="9" tint="-0.499984740745262"/>
      <name val="Cordia New"/>
      <family val="2"/>
    </font>
    <font>
      <sz val="14"/>
      <color theme="6" tint="-0.499984740745262"/>
      <name val="Cordia New"/>
      <family val="2"/>
    </font>
    <font>
      <sz val="14"/>
      <color rgb="FFCC3399"/>
      <name val="Cordia New"/>
      <family val="2"/>
    </font>
    <font>
      <sz val="14"/>
      <color rgb="FFFF6600"/>
      <name val="Cordia New"/>
      <family val="2"/>
    </font>
    <font>
      <sz val="14"/>
      <color rgb="FF6600FF"/>
      <name val="Cordia New"/>
      <family val="2"/>
    </font>
    <font>
      <sz val="14"/>
      <color rgb="FF00B05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2" fillId="0" borderId="0" xfId="0" applyNumberFormat="1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4" fontId="11" fillId="0" borderId="1" xfId="0" applyNumberFormat="1" applyFont="1" applyBorder="1"/>
    <xf numFmtId="3" fontId="11" fillId="0" borderId="1" xfId="0" applyNumberFormat="1" applyFont="1" applyBorder="1"/>
    <xf numFmtId="10" fontId="10" fillId="0" borderId="1" xfId="1" applyNumberFormat="1" applyFont="1" applyBorder="1"/>
    <xf numFmtId="187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3" fontId="12" fillId="0" borderId="1" xfId="0" applyNumberFormat="1" applyFont="1" applyBorder="1"/>
    <xf numFmtId="4" fontId="12" fillId="0" borderId="1" xfId="0" applyNumberFormat="1" applyFont="1" applyFill="1" applyBorder="1"/>
    <xf numFmtId="3" fontId="12" fillId="0" borderId="1" xfId="0" applyNumberFormat="1" applyFont="1" applyFill="1" applyBorder="1"/>
    <xf numFmtId="0" fontId="1" fillId="0" borderId="1" xfId="0" applyFont="1" applyBorder="1"/>
    <xf numFmtId="0" fontId="6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" fontId="16" fillId="0" borderId="1" xfId="0" applyNumberFormat="1" applyFont="1" applyFill="1" applyBorder="1"/>
    <xf numFmtId="4" fontId="15" fillId="0" borderId="1" xfId="0" applyNumberFormat="1" applyFont="1" applyBorder="1"/>
    <xf numFmtId="187" fontId="13" fillId="0" borderId="1" xfId="0" applyNumberFormat="1" applyFont="1" applyBorder="1"/>
    <xf numFmtId="4" fontId="14" fillId="0" borderId="1" xfId="0" applyNumberFormat="1" applyFont="1" applyBorder="1"/>
    <xf numFmtId="4" fontId="11" fillId="0" borderId="1" xfId="0" applyNumberFormat="1" applyFont="1" applyFill="1" applyBorder="1"/>
    <xf numFmtId="3" fontId="13" fillId="0" borderId="1" xfId="0" applyNumberFormat="1" applyFont="1" applyFill="1" applyBorder="1"/>
    <xf numFmtId="3" fontId="14" fillId="0" borderId="1" xfId="0" applyNumberFormat="1" applyFont="1" applyFill="1" applyBorder="1"/>
    <xf numFmtId="3" fontId="15" fillId="0" borderId="1" xfId="0" applyNumberFormat="1" applyFont="1" applyBorder="1"/>
    <xf numFmtId="187" fontId="10" fillId="0" borderId="1" xfId="0" applyNumberFormat="1" applyFont="1" applyFill="1" applyBorder="1"/>
    <xf numFmtId="0" fontId="17" fillId="0" borderId="1" xfId="0" applyFont="1" applyBorder="1"/>
    <xf numFmtId="4" fontId="17" fillId="0" borderId="1" xfId="0" applyNumberFormat="1" applyFont="1" applyBorder="1"/>
    <xf numFmtId="3" fontId="17" fillId="0" borderId="1" xfId="0" applyNumberFormat="1" applyFont="1" applyBorder="1"/>
    <xf numFmtId="3" fontId="13" fillId="3" borderId="1" xfId="0" applyNumberFormat="1" applyFont="1" applyFill="1" applyBorder="1"/>
  </cellXfs>
  <cellStyles count="2">
    <cellStyle name="เปอร์เซ็นต์" xfId="1" builtinId="5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6600"/>
      <color rgb="FFFF7C80"/>
      <color rgb="FFFF6699"/>
      <color rgb="FF6600FF"/>
      <color rgb="FFCC3399"/>
      <color rgb="FFCC9900"/>
      <color rgb="FFFFFF66"/>
      <color rgb="FFFF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/>
            </a:pPr>
            <a:r>
              <a:rPr lang="en-US" sz="2000"/>
              <a:t>Domestic Debt Profile (as of</a:t>
            </a:r>
            <a:r>
              <a:rPr lang="en-US" sz="2000" baseline="0"/>
              <a:t> 31 May 2015)</a:t>
            </a:r>
            <a:r>
              <a:rPr lang="en-US" sz="2000"/>
              <a:t> </a:t>
            </a:r>
          </a:p>
        </c:rich>
      </c:tx>
      <c:layout>
        <c:manualLayout>
          <c:xMode val="edge"/>
          <c:yMode val="edge"/>
          <c:x val="0.40643372416875839"/>
          <c:y val="9.4899169632265724E-3"/>
        </c:manualLayout>
      </c:layout>
      <c:overlay val="1"/>
    </c:title>
    <c:plotArea>
      <c:layout>
        <c:manualLayout>
          <c:layoutTarget val="inner"/>
          <c:xMode val="edge"/>
          <c:yMode val="edge"/>
          <c:x val="0.22323070751527241"/>
          <c:y val="0.10300993514600711"/>
          <c:w val="0.76978452151008836"/>
          <c:h val="0.44172520375742508"/>
        </c:manualLayout>
      </c:layout>
      <c:barChart>
        <c:barDir val="col"/>
        <c:grouping val="stacked"/>
        <c:ser>
          <c:idx val="13"/>
          <c:order val="0"/>
          <c:tx>
            <c:strRef>
              <c:f>Sheet1!$A$46</c:f>
              <c:strCache>
                <c:ptCount val="1"/>
                <c:pt idx="0">
                  <c:v>DPL Term Loan</c:v>
                </c:pt>
              </c:strCache>
            </c:strRef>
          </c:tx>
          <c:val>
            <c:numRef>
              <c:f>Sheet1!$B$46:$AA$46</c:f>
              <c:numCache>
                <c:formatCode>#,##0.00</c:formatCode>
                <c:ptCount val="26"/>
                <c:pt idx="1">
                  <c:v>6000</c:v>
                </c:pt>
                <c:pt idx="2">
                  <c:v>2500</c:v>
                </c:pt>
              </c:numCache>
            </c:numRef>
          </c:val>
        </c:ser>
        <c:ser>
          <c:idx val="12"/>
          <c:order val="1"/>
          <c:tx>
            <c:strRef>
              <c:f>Sheet1!$A$45</c:f>
              <c:strCache>
                <c:ptCount val="1"/>
                <c:pt idx="0">
                  <c:v>On-lending Term loan/Bond</c:v>
                </c:pt>
              </c:strCache>
            </c:strRef>
          </c:tx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Sheet1!$B$45:$AA$45</c:f>
              <c:numCache>
                <c:formatCode>#,##0.00</c:formatCode>
                <c:ptCount val="26"/>
                <c:pt idx="1">
                  <c:v>24385.189999999995</c:v>
                </c:pt>
                <c:pt idx="2">
                  <c:v>3870.4799999999996</c:v>
                </c:pt>
                <c:pt idx="7" formatCode="#,##0">
                  <c:v>20000</c:v>
                </c:pt>
              </c:numCache>
            </c:numRef>
          </c:val>
        </c:ser>
        <c:ser>
          <c:idx val="10"/>
          <c:order val="2"/>
          <c:tx>
            <c:strRef>
              <c:f>Sheet1!$A$44</c:f>
              <c:strCache>
                <c:ptCount val="1"/>
                <c:pt idx="0">
                  <c:v>T-Bill</c:v>
                </c:pt>
              </c:strCache>
            </c:strRef>
          </c:tx>
          <c:spPr>
            <a:solidFill>
              <a:srgbClr val="CC3399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Sheet1!$B$44:$AA$44</c:f>
              <c:numCache>
                <c:formatCode>#,##0</c:formatCode>
                <c:ptCount val="26"/>
                <c:pt idx="0">
                  <c:v>80000</c:v>
                </c:pt>
              </c:numCache>
            </c:numRef>
          </c:val>
        </c:ser>
        <c:ser>
          <c:idx val="9"/>
          <c:order val="3"/>
          <c:tx>
            <c:strRef>
              <c:f>Sheet1!$A$43</c:f>
              <c:strCache>
                <c:ptCount val="1"/>
                <c:pt idx="0">
                  <c:v>Budget Deficit &amp; Debt Management PN / R-Bill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Sheet1!$B$43:$AA$43</c:f>
              <c:numCache>
                <c:formatCode>#,##0</c:formatCode>
                <c:ptCount val="26"/>
                <c:pt idx="0">
                  <c:v>46024.000000000007</c:v>
                </c:pt>
                <c:pt idx="1">
                  <c:v>10383.33</c:v>
                </c:pt>
                <c:pt idx="2">
                  <c:v>27218.33</c:v>
                </c:pt>
                <c:pt idx="3">
                  <c:v>19913.330000000002</c:v>
                </c:pt>
                <c:pt idx="4">
                  <c:v>13873.33</c:v>
                </c:pt>
                <c:pt idx="5">
                  <c:v>1383.33</c:v>
                </c:pt>
                <c:pt idx="6">
                  <c:v>1383.33</c:v>
                </c:pt>
                <c:pt idx="7">
                  <c:v>1383.33</c:v>
                </c:pt>
                <c:pt idx="8">
                  <c:v>350</c:v>
                </c:pt>
                <c:pt idx="9">
                  <c:v>4500</c:v>
                </c:pt>
                <c:pt idx="14">
                  <c:v>2400</c:v>
                </c:pt>
                <c:pt idx="17">
                  <c:v>3900</c:v>
                </c:pt>
                <c:pt idx="23">
                  <c:v>29400</c:v>
                </c:pt>
                <c:pt idx="24">
                  <c:v>27600</c:v>
                </c:pt>
              </c:numCache>
            </c:numRef>
          </c:val>
        </c:ser>
        <c:ser>
          <c:idx val="8"/>
          <c:order val="4"/>
          <c:tx>
            <c:strRef>
              <c:f>Sheet1!$A$42</c:f>
              <c:strCache>
                <c:ptCount val="1"/>
                <c:pt idx="0">
                  <c:v>Budget Deficit &amp; Debt Management Saving Bond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Sheet1!$B$42:$AA$42</c:f>
              <c:numCache>
                <c:formatCode>#,##0.000</c:formatCode>
                <c:ptCount val="26"/>
                <c:pt idx="1">
                  <c:v>7296.768</c:v>
                </c:pt>
                <c:pt idx="2" formatCode="#,##0">
                  <c:v>8000</c:v>
                </c:pt>
                <c:pt idx="3" formatCode="#,##0.00">
                  <c:v>39577.24</c:v>
                </c:pt>
                <c:pt idx="6">
                  <c:v>11835.547</c:v>
                </c:pt>
                <c:pt idx="9">
                  <c:v>18164.453000000001</c:v>
                </c:pt>
                <c:pt idx="10">
                  <c:v>12141.468000000001</c:v>
                </c:pt>
              </c:numCache>
            </c:numRef>
          </c:val>
        </c:ser>
        <c:ser>
          <c:idx val="7"/>
          <c:order val="5"/>
          <c:tx>
            <c:strRef>
              <c:f>Sheet1!$A$41</c:f>
              <c:strCache>
                <c:ptCount val="1"/>
                <c:pt idx="0">
                  <c:v>Budget Deficit &amp; Debt Management Bond</c:v>
                </c:pt>
              </c:strCache>
            </c:strRef>
          </c:tx>
          <c:spPr>
            <a:solidFill>
              <a:srgbClr val="FF6600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Sheet1!$B$41:$AA$41</c:f>
              <c:numCache>
                <c:formatCode>#,##0</c:formatCode>
                <c:ptCount val="26"/>
                <c:pt idx="0">
                  <c:v>35950.000000000015</c:v>
                </c:pt>
                <c:pt idx="1">
                  <c:v>148000</c:v>
                </c:pt>
                <c:pt idx="2">
                  <c:v>124512.952</c:v>
                </c:pt>
                <c:pt idx="3">
                  <c:v>86632</c:v>
                </c:pt>
                <c:pt idx="4">
                  <c:v>368877.42700000003</c:v>
                </c:pt>
                <c:pt idx="7">
                  <c:v>262324.51</c:v>
                </c:pt>
                <c:pt idx="8">
                  <c:v>76700</c:v>
                </c:pt>
                <c:pt idx="9">
                  <c:v>31000</c:v>
                </c:pt>
                <c:pt idx="10">
                  <c:v>47000</c:v>
                </c:pt>
                <c:pt idx="12">
                  <c:v>239798</c:v>
                </c:pt>
                <c:pt idx="13">
                  <c:v>125672</c:v>
                </c:pt>
                <c:pt idx="15">
                  <c:v>41900</c:v>
                </c:pt>
                <c:pt idx="16">
                  <c:v>33581</c:v>
                </c:pt>
                <c:pt idx="18" formatCode="#,##0.000">
                  <c:v>158985.11300000001</c:v>
                </c:pt>
                <c:pt idx="19">
                  <c:v>5500</c:v>
                </c:pt>
                <c:pt idx="20">
                  <c:v>20000</c:v>
                </c:pt>
                <c:pt idx="21">
                  <c:v>95936</c:v>
                </c:pt>
                <c:pt idx="22">
                  <c:v>76000</c:v>
                </c:pt>
                <c:pt idx="25">
                  <c:v>151902</c:v>
                </c:pt>
              </c:numCache>
            </c:numRef>
          </c:val>
        </c:ser>
        <c:ser>
          <c:idx val="11"/>
          <c:order val="6"/>
          <c:tx>
            <c:strRef>
              <c:f>Sheet1!$A$40</c:f>
              <c:strCache>
                <c:ptCount val="1"/>
                <c:pt idx="0">
                  <c:v>Water Decree Term Loan</c:v>
                </c:pt>
              </c:strCache>
            </c:strRef>
          </c:tx>
          <c:spPr>
            <a:solidFill>
              <a:srgbClr val="FF7C80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Sheet1!$B$40:$AA$40</c:f>
              <c:numCache>
                <c:formatCode>#,##0</c:formatCode>
                <c:ptCount val="26"/>
                <c:pt idx="1">
                  <c:v>23423</c:v>
                </c:pt>
              </c:numCache>
            </c:numRef>
          </c:val>
        </c:ser>
        <c:ser>
          <c:idx val="6"/>
          <c:order val="7"/>
          <c:tx>
            <c:strRef>
              <c:f>Sheet1!$A$39</c:f>
              <c:strCache>
                <c:ptCount val="1"/>
                <c:pt idx="0">
                  <c:v>TKK PN / term loan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Sheet1!$B$39:$AA$39</c:f>
              <c:numCache>
                <c:formatCode>#,##0</c:formatCode>
                <c:ptCount val="26"/>
                <c:pt idx="3">
                  <c:v>1381</c:v>
                </c:pt>
                <c:pt idx="8">
                  <c:v>18900</c:v>
                </c:pt>
                <c:pt idx="13">
                  <c:v>15700</c:v>
                </c:pt>
              </c:numCache>
            </c:numRef>
          </c:val>
        </c:ser>
        <c:ser>
          <c:idx val="5"/>
          <c:order val="8"/>
          <c:tx>
            <c:strRef>
              <c:f>Sheet1!$A$38</c:f>
              <c:strCache>
                <c:ptCount val="1"/>
                <c:pt idx="0">
                  <c:v>TKK Bond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Sheet1!$B$38:$AA$38</c:f>
              <c:numCache>
                <c:formatCode>#,##0.00</c:formatCode>
                <c:ptCount val="26"/>
                <c:pt idx="1">
                  <c:v>86630.29</c:v>
                </c:pt>
                <c:pt idx="2" formatCode="#,##0">
                  <c:v>16000</c:v>
                </c:pt>
                <c:pt idx="4" formatCode="#,##0">
                  <c:v>10000</c:v>
                </c:pt>
                <c:pt idx="6" formatCode="#,##0">
                  <c:v>100872</c:v>
                </c:pt>
                <c:pt idx="11" formatCode="#,##0">
                  <c:v>43000</c:v>
                </c:pt>
                <c:pt idx="13" formatCode="#,##0">
                  <c:v>9000</c:v>
                </c:pt>
                <c:pt idx="16" formatCode="#,##0">
                  <c:v>35000</c:v>
                </c:pt>
                <c:pt idx="18" formatCode="#,##0">
                  <c:v>13000</c:v>
                </c:pt>
                <c:pt idx="22" formatCode="#,##0">
                  <c:v>12000</c:v>
                </c:pt>
              </c:numCache>
            </c:numRef>
          </c:val>
        </c:ser>
        <c:ser>
          <c:idx val="4"/>
          <c:order val="9"/>
          <c:tx>
            <c:strRef>
              <c:f>Sheet1!$A$37</c:f>
              <c:strCache>
                <c:ptCount val="1"/>
                <c:pt idx="0">
                  <c:v>FIDF1 PN / R-Bill</c:v>
                </c:pt>
              </c:strCache>
            </c:strRef>
          </c:tx>
          <c:spPr>
            <a:solidFill>
              <a:srgbClr val="99CCFF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Sheet1!$B$37:$AA$37</c:f>
              <c:numCache>
                <c:formatCode>#,##0.00</c:formatCode>
                <c:ptCount val="26"/>
                <c:pt idx="1">
                  <c:v>36730.33</c:v>
                </c:pt>
                <c:pt idx="2">
                  <c:v>47863.31</c:v>
                </c:pt>
              </c:numCache>
            </c:numRef>
          </c:val>
        </c:ser>
        <c:ser>
          <c:idx val="3"/>
          <c:order val="10"/>
          <c:tx>
            <c:strRef>
              <c:f>Sheet1!$A$36</c:f>
              <c:strCache>
                <c:ptCount val="1"/>
                <c:pt idx="0">
                  <c:v>FIDF1 Bond</c:v>
                </c:pt>
              </c:strCache>
            </c:strRef>
          </c:tx>
          <c:spPr>
            <a:solidFill>
              <a:srgbClr val="FFCCCC"/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Sheet1!$B$36:$AA$36</c:f>
              <c:numCache>
                <c:formatCode>#,##0</c:formatCode>
                <c:ptCount val="26"/>
                <c:pt idx="2">
                  <c:v>89000</c:v>
                </c:pt>
                <c:pt idx="3">
                  <c:v>25000</c:v>
                </c:pt>
                <c:pt idx="5">
                  <c:v>37900</c:v>
                </c:pt>
                <c:pt idx="6">
                  <c:v>40000</c:v>
                </c:pt>
                <c:pt idx="8">
                  <c:v>71000</c:v>
                </c:pt>
                <c:pt idx="11">
                  <c:v>74000</c:v>
                </c:pt>
              </c:numCache>
            </c:numRef>
          </c:val>
        </c:ser>
        <c:ser>
          <c:idx val="2"/>
          <c:order val="11"/>
          <c:tx>
            <c:strRef>
              <c:f>Sheet1!$A$35</c:f>
              <c:strCache>
                <c:ptCount val="1"/>
                <c:pt idx="0">
                  <c:v>FIDF 3 PN / term loan / R-Bill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Sheet1!$B$35:$AA$35</c:f>
              <c:numCache>
                <c:formatCode>#,##0.00</c:formatCode>
                <c:ptCount val="26"/>
                <c:pt idx="0">
                  <c:v>6731.0200000000041</c:v>
                </c:pt>
                <c:pt idx="1">
                  <c:v>7087.23</c:v>
                </c:pt>
                <c:pt idx="3">
                  <c:v>6957.9100000000008</c:v>
                </c:pt>
              </c:numCache>
            </c:numRef>
          </c:val>
        </c:ser>
        <c:ser>
          <c:idx val="1"/>
          <c:order val="12"/>
          <c:tx>
            <c:strRef>
              <c:f>Sheet1!$A$34</c:f>
              <c:strCache>
                <c:ptCount val="1"/>
                <c:pt idx="0">
                  <c:v>FIDF 3 Saving Bond</c:v>
                </c:pt>
              </c:strCache>
            </c:strRef>
          </c:tx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Sheet1!$B$34:$AA$34</c:f>
              <c:numCache>
                <c:formatCode>#,##0.00</c:formatCode>
                <c:ptCount val="26"/>
              </c:numCache>
            </c:numRef>
          </c:val>
        </c:ser>
        <c:ser>
          <c:idx val="0"/>
          <c:order val="13"/>
          <c:tx>
            <c:strRef>
              <c:f>Sheet1!$A$33</c:f>
              <c:strCache>
                <c:ptCount val="1"/>
                <c:pt idx="0">
                  <c:v>FIDF 3 Bond</c:v>
                </c:pt>
              </c:strCache>
            </c:strRef>
          </c:tx>
          <c:cat>
            <c:strRef>
              <c:f>Sheet1!$B$32:$AA$32</c:f>
              <c:strCach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2044</c:v>
                </c:pt>
                <c:pt idx="23">
                  <c:v>2047</c:v>
                </c:pt>
                <c:pt idx="24">
                  <c:v>2052</c:v>
                </c:pt>
                <c:pt idx="25">
                  <c:v>2061</c:v>
                </c:pt>
              </c:strCache>
            </c:strRef>
          </c:cat>
          <c:val>
            <c:numRef>
              <c:f>Sheet1!$B$33:$AA$33</c:f>
              <c:numCache>
                <c:formatCode>#,##0</c:formatCode>
                <c:ptCount val="26"/>
                <c:pt idx="1">
                  <c:v>60450</c:v>
                </c:pt>
                <c:pt idx="2">
                  <c:v>128000</c:v>
                </c:pt>
                <c:pt idx="3">
                  <c:v>75000</c:v>
                </c:pt>
                <c:pt idx="4">
                  <c:v>113800</c:v>
                </c:pt>
                <c:pt idx="6">
                  <c:v>69000</c:v>
                </c:pt>
                <c:pt idx="8">
                  <c:v>116850</c:v>
                </c:pt>
                <c:pt idx="11">
                  <c:v>28198</c:v>
                </c:pt>
              </c:numCache>
            </c:numRef>
          </c:val>
        </c:ser>
        <c:dLbls/>
        <c:overlap val="100"/>
        <c:axId val="52066560"/>
        <c:axId val="52072448"/>
      </c:barChart>
      <c:catAx>
        <c:axId val="52066560"/>
        <c:scaling>
          <c:orientation val="minMax"/>
        </c:scaling>
        <c:axPos val="b"/>
        <c:numFmt formatCode="General" sourceLinked="1"/>
        <c:tickLblPos val="nextTo"/>
        <c:crossAx val="52072448"/>
        <c:crosses val="autoZero"/>
        <c:auto val="1"/>
        <c:lblAlgn val="ctr"/>
        <c:lblOffset val="100"/>
      </c:catAx>
      <c:valAx>
        <c:axId val="52072448"/>
        <c:scaling>
          <c:orientation val="minMax"/>
        </c:scaling>
        <c:axPos val="l"/>
        <c:majorGridlines/>
        <c:numFmt formatCode="#,##0.00" sourceLinked="1"/>
        <c:tickLblPos val="nextTo"/>
        <c:crossAx val="52066560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900" baseline="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>
      <c:oddFooter>&amp;R&amp;F</c:oddFooter>
    </c:headerFooter>
    <c:pageMargins b="0.74803149606299624" l="0.70866141732283938" r="0.70866141732283938" t="0.74803149606299624" header="0.31496062992126372" footer="0.3149606299212637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161925</xdr:rowOff>
    </xdr:from>
    <xdr:to>
      <xdr:col>11</xdr:col>
      <xdr:colOff>447675</xdr:colOff>
      <xdr:row>29</xdr:row>
      <xdr:rowOff>180975</xdr:rowOff>
    </xdr:to>
    <xdr:graphicFrame macro="">
      <xdr:nvGraphicFramePr>
        <xdr:cNvPr id="1444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AS77"/>
  <sheetViews>
    <sheetView showGridLines="0" tabSelected="1" topLeftCell="A5" zoomScaleSheetLayoutView="85" workbookViewId="0">
      <selection activeCell="M6" sqref="M6"/>
    </sheetView>
  </sheetViews>
  <sheetFormatPr defaultRowHeight="21.75"/>
  <cols>
    <col min="1" max="1" width="40.140625" customWidth="1"/>
    <col min="2" max="2" width="11.85546875" bestFit="1" customWidth="1"/>
    <col min="3" max="6" width="10.7109375" customWidth="1"/>
    <col min="7" max="7" width="10.42578125" customWidth="1"/>
    <col min="8" max="27" width="10.7109375" customWidth="1"/>
    <col min="28" max="28" width="13.28515625" customWidth="1"/>
    <col min="29" max="29" width="11.7109375" bestFit="1" customWidth="1"/>
    <col min="30" max="30" width="10.7109375" customWidth="1"/>
    <col min="31" max="31" width="10" bestFit="1" customWidth="1"/>
    <col min="33" max="33" width="9.85546875" bestFit="1" customWidth="1"/>
  </cols>
  <sheetData>
    <row r="31" spans="1:45" ht="22.5"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4"/>
      <c r="AF31" s="4"/>
      <c r="AG31" s="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3" t="s">
        <v>0</v>
      </c>
      <c r="B32" s="14" t="s">
        <v>1</v>
      </c>
      <c r="C32" s="14">
        <v>2016</v>
      </c>
      <c r="D32" s="14">
        <v>2017</v>
      </c>
      <c r="E32" s="14">
        <v>2018</v>
      </c>
      <c r="F32" s="14">
        <v>2019</v>
      </c>
      <c r="G32" s="14">
        <v>2020</v>
      </c>
      <c r="H32" s="14" t="s">
        <v>2</v>
      </c>
      <c r="I32" s="14">
        <v>2022</v>
      </c>
      <c r="J32" s="14" t="s">
        <v>4</v>
      </c>
      <c r="K32" s="14">
        <v>2024</v>
      </c>
      <c r="L32" s="14">
        <v>2025</v>
      </c>
      <c r="M32" s="14">
        <v>2026</v>
      </c>
      <c r="N32" s="14">
        <v>2028</v>
      </c>
      <c r="O32" s="14">
        <v>2029</v>
      </c>
      <c r="P32" s="14">
        <v>2030</v>
      </c>
      <c r="Q32" s="14">
        <v>2031</v>
      </c>
      <c r="R32" s="14">
        <v>2032</v>
      </c>
      <c r="S32" s="13">
        <v>2037</v>
      </c>
      <c r="T32" s="13">
        <v>2038</v>
      </c>
      <c r="U32" s="13">
        <v>2039</v>
      </c>
      <c r="V32" s="13">
        <v>2040</v>
      </c>
      <c r="W32" s="13">
        <v>2041</v>
      </c>
      <c r="X32" s="13">
        <v>2044</v>
      </c>
      <c r="Y32" s="13">
        <v>2047</v>
      </c>
      <c r="Z32" s="13">
        <v>2052</v>
      </c>
      <c r="AA32" s="13">
        <v>2061</v>
      </c>
      <c r="AB32" s="12" t="s">
        <v>6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1" s="7" customFormat="1">
      <c r="A33" s="15" t="s">
        <v>7</v>
      </c>
      <c r="B33" s="15"/>
      <c r="C33" s="16">
        <f>36000+8000+6450+10000</f>
        <v>60450</v>
      </c>
      <c r="D33" s="16">
        <f>15000+16000+15000+20000+11500+19000+17500+14000</f>
        <v>128000</v>
      </c>
      <c r="E33" s="16">
        <f>12000+12000+10000+10000+10000+21000</f>
        <v>75000</v>
      </c>
      <c r="F33" s="16">
        <f>54800+9000+11000+12000+12000+15000</f>
        <v>113800</v>
      </c>
      <c r="G33" s="15"/>
      <c r="H33" s="16">
        <f>15000+4000+7000+3000+15000+8000+8000+9000</f>
        <v>69000</v>
      </c>
      <c r="I33" s="16"/>
      <c r="J33" s="16">
        <f>101850+15000</f>
        <v>116850</v>
      </c>
      <c r="K33" s="16"/>
      <c r="L33" s="16"/>
      <c r="M33" s="16">
        <f>14000+14198</f>
        <v>28198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5">
        <f t="shared" ref="AB33:AB48" si="0">SUM(B33:AA33)</f>
        <v>591298</v>
      </c>
    </row>
    <row r="34" spans="1:41" s="8" customFormat="1">
      <c r="A34" s="19" t="s">
        <v>8</v>
      </c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5">
        <f t="shared" si="0"/>
        <v>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>
      <c r="A35" s="30" t="s">
        <v>14</v>
      </c>
      <c r="B35" s="37">
        <f>4577.7+6731.02-16.42+16595+2863.31-2863.31-782.67-20373.61+16000-16000</f>
        <v>6731.0200000000041</v>
      </c>
      <c r="C35" s="15">
        <f>4320.7+6067.07+3669.998-482.178-421.29-6067.07</f>
        <v>7087.23</v>
      </c>
      <c r="D35" s="15"/>
      <c r="E35" s="37">
        <f>2797.97-141.38-33.52-38.76+17603.29-5586.57+820.45-3.37+3778.6+595-27.91-0.76-5000-6984.68-820.45</f>
        <v>6957.9100000000008</v>
      </c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">
        <f t="shared" si="0"/>
        <v>20776.160000000003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>
      <c r="A36" s="22" t="s">
        <v>9</v>
      </c>
      <c r="B36" s="39"/>
      <c r="C36" s="23"/>
      <c r="D36" s="23">
        <f>8000+7000+8000+7000+8000+8000+9000+17000+17000</f>
        <v>89000</v>
      </c>
      <c r="E36" s="23">
        <f>23000+2000</f>
        <v>25000</v>
      </c>
      <c r="F36" s="23"/>
      <c r="G36" s="23">
        <f>6000+4000+4000+900+3000+6000+3000+3000+5000+3000</f>
        <v>37900</v>
      </c>
      <c r="H36" s="23">
        <v>40000</v>
      </c>
      <c r="I36" s="23"/>
      <c r="J36" s="23">
        <f>14000+13000+12000+16000+16000</f>
        <v>71000</v>
      </c>
      <c r="K36" s="23"/>
      <c r="L36" s="23"/>
      <c r="M36" s="23">
        <f>35000+12000+14000+13000</f>
        <v>74000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5">
        <f t="shared" si="0"/>
        <v>336900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>
      <c r="A37" s="22" t="s">
        <v>19</v>
      </c>
      <c r="B37" s="39"/>
      <c r="C37" s="36">
        <f>39836-3105.67</f>
        <v>36730.33</v>
      </c>
      <c r="D37" s="36">
        <f>39000+50099.2+18000-2900-1600-17000-14000-17000-1636.69-5099.2</f>
        <v>47863.31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5">
        <f t="shared" si="0"/>
        <v>84593.64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>
      <c r="A38" s="20" t="s">
        <v>17</v>
      </c>
      <c r="B38" s="28"/>
      <c r="C38" s="27">
        <f>82230.29+4400</f>
        <v>86630.29</v>
      </c>
      <c r="D38" s="26">
        <v>16000</v>
      </c>
      <c r="E38" s="26"/>
      <c r="F38" s="26">
        <v>10000</v>
      </c>
      <c r="G38" s="26"/>
      <c r="H38" s="26">
        <f>40000+15000+15000+7180+13692+10000</f>
        <v>100872</v>
      </c>
      <c r="I38" s="26"/>
      <c r="J38" s="26"/>
      <c r="K38" s="26"/>
      <c r="L38" s="26"/>
      <c r="M38" s="26">
        <f>6000+6000+8000+8000+8000+7000</f>
        <v>43000</v>
      </c>
      <c r="N38" s="26"/>
      <c r="O38" s="26">
        <v>9000</v>
      </c>
      <c r="P38" s="26"/>
      <c r="Q38" s="26"/>
      <c r="R38" s="26">
        <f>9000+7000+7000+6000+6000</f>
        <v>35000</v>
      </c>
      <c r="S38" s="26"/>
      <c r="T38" s="26">
        <v>13000</v>
      </c>
      <c r="U38" s="26"/>
      <c r="V38" s="26"/>
      <c r="W38" s="26"/>
      <c r="X38" s="26">
        <v>12000</v>
      </c>
      <c r="Y38" s="26"/>
      <c r="Z38" s="26"/>
      <c r="AA38" s="26"/>
      <c r="AB38" s="15">
        <f t="shared" si="0"/>
        <v>325502.28999999998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>
      <c r="A39" s="20" t="s">
        <v>18</v>
      </c>
      <c r="B39" s="27"/>
      <c r="C39" s="28"/>
      <c r="D39" s="26"/>
      <c r="E39" s="26">
        <f>1381</f>
        <v>1381</v>
      </c>
      <c r="F39" s="26"/>
      <c r="G39" s="26"/>
      <c r="H39" s="26"/>
      <c r="I39" s="26"/>
      <c r="J39" s="26">
        <v>18900</v>
      </c>
      <c r="K39" s="26"/>
      <c r="L39" s="26"/>
      <c r="M39" s="26"/>
      <c r="N39" s="26"/>
      <c r="O39" s="26">
        <v>15700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5">
        <f t="shared" si="0"/>
        <v>35981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>
      <c r="A40" s="32" t="s">
        <v>15</v>
      </c>
      <c r="B40" s="27"/>
      <c r="C40" s="33">
        <f>3500+900+500+1000+1000+500+2600+1500+1250+1000+1000+1000+1000+500+1000+1000+500+500+750+350+300+650+393+200+200+200+130</f>
        <v>23423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5">
        <f t="shared" si="0"/>
        <v>23423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>
      <c r="A41" s="21" t="s">
        <v>10</v>
      </c>
      <c r="B41" s="24">
        <f>157522+7000+8000+8000+8000+8000+7000+16000-20000+15000+20000-76235.197-46000-76336.803</f>
        <v>35950.000000000015</v>
      </c>
      <c r="C41" s="24">
        <f>16000+13000+14000+10000+16000+20000+20000+20000+9000+10000</f>
        <v>148000</v>
      </c>
      <c r="D41" s="24">
        <f>40000+43830+18000+22682.952</f>
        <v>124512.952</v>
      </c>
      <c r="E41" s="24">
        <f>7000+10000+9707+11000+5000+9925+10000+12000+12000</f>
        <v>86632</v>
      </c>
      <c r="F41" s="24">
        <f>145994+13000+14000+14000+14000+12000+15000+20000+20000+20000+20000+20000+20000+20883.427</f>
        <v>368877.42700000003</v>
      </c>
      <c r="G41" s="24"/>
      <c r="H41" s="24"/>
      <c r="I41" s="24">
        <f>10000+7000+7000+10000+12000+13000+5110+17000+15000+15000+12000+13000+10000+11000+12000+12000+9435.51+23976+23803+24000</f>
        <v>262324.51</v>
      </c>
      <c r="J41" s="24">
        <f>26000+50700</f>
        <v>76700</v>
      </c>
      <c r="K41" s="24">
        <v>31000</v>
      </c>
      <c r="L41" s="24">
        <v>47000</v>
      </c>
      <c r="M41" s="24"/>
      <c r="N41" s="24">
        <f>6000+6000+5950+6000+5000+7000+7000+7000+5000+7000+10000+8000+9000+8000+9000+6010+7000+40000+7000+15000+3700+3070+5000+4160+5000+5000+3570+1900+4000+4000+4438+5000+5000+5000</f>
        <v>239798</v>
      </c>
      <c r="O41" s="24">
        <f>50000+7000+10000+10000+6534+10000+7978+9000+6160+9000</f>
        <v>125672</v>
      </c>
      <c r="P41" s="24"/>
      <c r="Q41" s="24">
        <f>2900+6000+6000+8000+10000+9000</f>
        <v>41900</v>
      </c>
      <c r="R41" s="24">
        <f>7872+8000+8000+3709+6000</f>
        <v>33581</v>
      </c>
      <c r="S41" s="24"/>
      <c r="T41" s="35">
        <f>2500+2500+30000+8000+8000+8000+12000+13000+15000+8000+5970+18015.113+9000+9000+10000</f>
        <v>158985.11300000001</v>
      </c>
      <c r="U41" s="24">
        <f>2500+3000</f>
        <v>5500</v>
      </c>
      <c r="V41" s="24">
        <f>3000+3000+3000+3000+3000+5000</f>
        <v>20000</v>
      </c>
      <c r="W41" s="24">
        <f>3000+3000+5000+5000+6000+5000+7500+4436+8500+6000+7500+8000+6000+6000+6000+4000+5000</f>
        <v>95936</v>
      </c>
      <c r="X41" s="38">
        <f>5000+9000+9000+9000+8000+9000+9000+10000+8000</f>
        <v>76000</v>
      </c>
      <c r="Y41" s="24"/>
      <c r="Z41" s="24"/>
      <c r="AA41" s="24">
        <f>3500+4500+5000+5000+5000+5205+7000+6000+8000+7000+6000+6000+4000+5000+5000+5000+8000+9000+9000+8691+7246+5972+3788+6000+7000</f>
        <v>151902</v>
      </c>
      <c r="AB41" s="15">
        <f t="shared" si="0"/>
        <v>2130271.0019999999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0" customFormat="1">
      <c r="A42" s="21" t="s">
        <v>11</v>
      </c>
      <c r="B42" s="24"/>
      <c r="C42" s="35">
        <f>1125.96+927.843+886.971+669.412+265.777+54.284+1468.89+715.493+351.095+334.539+496.504</f>
        <v>7296.768</v>
      </c>
      <c r="D42" s="24">
        <f>1294.084+1146.51+710.299+849.107+1009.72+1182.929+1276.673+530.678</f>
        <v>8000</v>
      </c>
      <c r="E42" s="25">
        <f>31577.24+1463.294+537.144+896.809+1102.753+4000</f>
        <v>39577.24</v>
      </c>
      <c r="F42" s="24"/>
      <c r="G42" s="24"/>
      <c r="H42" s="35">
        <v>11835.547</v>
      </c>
      <c r="I42" s="25"/>
      <c r="J42" s="24"/>
      <c r="K42" s="35">
        <v>18164.453000000001</v>
      </c>
      <c r="L42" s="35">
        <v>12141.468000000001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5">
        <f t="shared" si="0"/>
        <v>97015.475999999995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0" customFormat="1">
      <c r="A43" s="21" t="s">
        <v>16</v>
      </c>
      <c r="B43" s="45">
        <f>6000-1300+11432.5+1033.33+350-8432.5+25800-516.67-175-25800+37010+5800-4700+10000-3000+9014-516.67-10000-175-5799.99</f>
        <v>46024.000000000007</v>
      </c>
      <c r="C43" s="24">
        <f>9000+1033.33+350</f>
        <v>10383.33</v>
      </c>
      <c r="D43" s="24">
        <f>10000+1033.33+350+4200+11635</f>
        <v>27218.33</v>
      </c>
      <c r="E43" s="24">
        <f>1033.33+350+5495+13035</f>
        <v>19913.330000000002</v>
      </c>
      <c r="F43" s="24">
        <f>1033.33+350+6000+6490</f>
        <v>13873.33</v>
      </c>
      <c r="G43" s="24">
        <f>1033.33+350</f>
        <v>1383.33</v>
      </c>
      <c r="H43" s="24">
        <f>1033.33+350</f>
        <v>1383.33</v>
      </c>
      <c r="I43" s="24">
        <f>1033.33+350</f>
        <v>1383.33</v>
      </c>
      <c r="J43" s="24">
        <v>350</v>
      </c>
      <c r="K43" s="24">
        <v>4500</v>
      </c>
      <c r="L43" s="24"/>
      <c r="M43" s="24"/>
      <c r="N43" s="24"/>
      <c r="O43" s="24"/>
      <c r="P43" s="24">
        <v>2400</v>
      </c>
      <c r="Q43" s="24"/>
      <c r="R43" s="24"/>
      <c r="S43" s="24">
        <f>3700+200</f>
        <v>3900</v>
      </c>
      <c r="T43" s="24"/>
      <c r="U43" s="24"/>
      <c r="V43" s="24"/>
      <c r="W43" s="24"/>
      <c r="X43" s="24"/>
      <c r="Y43" s="24">
        <v>29400</v>
      </c>
      <c r="Z43" s="24">
        <v>27600</v>
      </c>
      <c r="AA43" s="24"/>
      <c r="AB43" s="15">
        <f t="shared" si="0"/>
        <v>189712.31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0" customFormat="1">
      <c r="A44" s="21" t="s">
        <v>3</v>
      </c>
      <c r="B44" s="24">
        <v>80000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15">
        <f t="shared" si="0"/>
        <v>80000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10" customFormat="1">
      <c r="A45" s="31" t="s">
        <v>20</v>
      </c>
      <c r="B45" s="40"/>
      <c r="C45" s="34">
        <f>7664.92+2703.24+1494.95+3000+6737.86+995.71+512.62+167.12+771.8+52.12+297.72-82.4-25.59+95.12</f>
        <v>24385.189999999995</v>
      </c>
      <c r="D45" s="34">
        <f>146.4+192.16+944.3+639.19+833.31+72.65+985.25+57.22</f>
        <v>3870.4799999999996</v>
      </c>
      <c r="E45" s="24"/>
      <c r="F45" s="24"/>
      <c r="G45" s="24"/>
      <c r="H45" s="24"/>
      <c r="I45" s="40">
        <v>20000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15">
        <f t="shared" si="0"/>
        <v>48255.67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s="10" customFormat="1">
      <c r="A46" s="42" t="s">
        <v>21</v>
      </c>
      <c r="B46" s="43"/>
      <c r="C46" s="43">
        <v>6000</v>
      </c>
      <c r="D46" s="43">
        <f>1170+528+360+442</f>
        <v>2500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15">
        <f t="shared" si="0"/>
        <v>8500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s="11" customFormat="1" ht="21.75" customHeight="1">
      <c r="A47" s="29" t="s">
        <v>12</v>
      </c>
      <c r="B47" s="41">
        <f>SUM(B33:B46)</f>
        <v>168705.02000000002</v>
      </c>
      <c r="C47" s="41">
        <f t="shared" ref="C47:AB47" si="1">SUM(C33:C46)</f>
        <v>410386.13799999998</v>
      </c>
      <c r="D47" s="41">
        <f t="shared" si="1"/>
        <v>446965.07199999999</v>
      </c>
      <c r="E47" s="41">
        <f t="shared" si="1"/>
        <v>254461.47999999998</v>
      </c>
      <c r="F47" s="41">
        <f t="shared" si="1"/>
        <v>506550.75700000004</v>
      </c>
      <c r="G47" s="41">
        <f t="shared" si="1"/>
        <v>39283.33</v>
      </c>
      <c r="H47" s="41">
        <f t="shared" si="1"/>
        <v>223090.87699999998</v>
      </c>
      <c r="I47" s="41">
        <f t="shared" si="1"/>
        <v>283707.84000000003</v>
      </c>
      <c r="J47" s="41">
        <f t="shared" si="1"/>
        <v>283800</v>
      </c>
      <c r="K47" s="41">
        <f t="shared" si="1"/>
        <v>53664.453000000001</v>
      </c>
      <c r="L47" s="41">
        <f t="shared" si="1"/>
        <v>59141.468000000001</v>
      </c>
      <c r="M47" s="41">
        <f t="shared" si="1"/>
        <v>145198</v>
      </c>
      <c r="N47" s="41">
        <f t="shared" si="1"/>
        <v>239798</v>
      </c>
      <c r="O47" s="41">
        <f t="shared" si="1"/>
        <v>150372</v>
      </c>
      <c r="P47" s="41">
        <f t="shared" si="1"/>
        <v>2400</v>
      </c>
      <c r="Q47" s="41">
        <f t="shared" si="1"/>
        <v>41900</v>
      </c>
      <c r="R47" s="41">
        <f t="shared" si="1"/>
        <v>68581</v>
      </c>
      <c r="S47" s="41">
        <f t="shared" si="1"/>
        <v>3900</v>
      </c>
      <c r="T47" s="41">
        <f t="shared" si="1"/>
        <v>171985.11300000001</v>
      </c>
      <c r="U47" s="41">
        <f t="shared" si="1"/>
        <v>5500</v>
      </c>
      <c r="V47" s="41">
        <f t="shared" si="1"/>
        <v>20000</v>
      </c>
      <c r="W47" s="41">
        <f t="shared" si="1"/>
        <v>95936</v>
      </c>
      <c r="X47" s="41">
        <f t="shared" si="1"/>
        <v>88000</v>
      </c>
      <c r="Y47" s="41">
        <f t="shared" si="1"/>
        <v>29400</v>
      </c>
      <c r="Z47" s="41">
        <f t="shared" si="1"/>
        <v>27600</v>
      </c>
      <c r="AA47" s="41">
        <f t="shared" si="1"/>
        <v>151902</v>
      </c>
      <c r="AB47" s="41">
        <f t="shared" si="1"/>
        <v>3972228.548</v>
      </c>
    </row>
    <row r="48" spans="1:41">
      <c r="A48" s="29" t="s">
        <v>13</v>
      </c>
      <c r="B48" s="17">
        <f t="shared" ref="B48:O48" si="2">B47/$AB47</f>
        <v>4.2471126210736863E-2</v>
      </c>
      <c r="C48" s="17">
        <f t="shared" si="2"/>
        <v>0.10331382825558405</v>
      </c>
      <c r="D48" s="17">
        <f t="shared" si="2"/>
        <v>0.11252249627606271</v>
      </c>
      <c r="E48" s="17">
        <f t="shared" si="2"/>
        <v>6.4060130711290575E-2</v>
      </c>
      <c r="F48" s="17">
        <f t="shared" si="2"/>
        <v>0.12752306441557754</v>
      </c>
      <c r="G48" s="17">
        <f t="shared" si="2"/>
        <v>9.8894939012960353E-3</v>
      </c>
      <c r="H48" s="17">
        <f t="shared" si="2"/>
        <v>5.6162648826519633E-2</v>
      </c>
      <c r="I48" s="17">
        <f t="shared" si="2"/>
        <v>7.1422838986151913E-2</v>
      </c>
      <c r="J48" s="17">
        <f t="shared" si="2"/>
        <v>7.144604006808522E-2</v>
      </c>
      <c r="K48" s="17">
        <f t="shared" si="2"/>
        <v>1.3509910709196183E-2</v>
      </c>
      <c r="L48" s="17">
        <f t="shared" si="2"/>
        <v>1.4888737464458705E-2</v>
      </c>
      <c r="M48" s="17">
        <f t="shared" si="2"/>
        <v>3.655328444610937E-2</v>
      </c>
      <c r="N48" s="17">
        <f t="shared" si="2"/>
        <v>6.0368631135471112E-2</v>
      </c>
      <c r="O48" s="17">
        <f t="shared" si="2"/>
        <v>3.7855827826349935E-2</v>
      </c>
      <c r="P48" s="17">
        <f t="shared" ref="P48" si="3">P47/$AB47</f>
        <v>6.0419484201340568E-4</v>
      </c>
      <c r="Q48" s="17">
        <f>Q47/$AB47</f>
        <v>1.0548234950150708E-2</v>
      </c>
      <c r="R48" s="17">
        <f>R47/$AB47</f>
        <v>1.7265119358383908E-2</v>
      </c>
      <c r="S48" s="17">
        <f t="shared" ref="S48" si="4">S47/$AB47</f>
        <v>9.818166182717844E-4</v>
      </c>
      <c r="T48" s="17">
        <f>T47/$AB47</f>
        <v>4.3296882574038638E-2</v>
      </c>
      <c r="U48" s="17">
        <f>U47/$AB47</f>
        <v>1.3846131796140548E-3</v>
      </c>
      <c r="V48" s="17">
        <f>V47/$AB47</f>
        <v>5.0349570167783813E-3</v>
      </c>
      <c r="W48" s="17">
        <f>W47/$AB47</f>
        <v>2.4151681818082537E-2</v>
      </c>
      <c r="X48" s="17">
        <f t="shared" ref="X48:AA48" si="5">X47/$AB47</f>
        <v>2.2153810873824877E-2</v>
      </c>
      <c r="Y48" s="17">
        <f t="shared" si="5"/>
        <v>7.40138681466422E-3</v>
      </c>
      <c r="Z48" s="17">
        <f t="shared" si="5"/>
        <v>6.9482406831541657E-3</v>
      </c>
      <c r="AA48" s="17">
        <f t="shared" si="5"/>
        <v>3.8241002038133479E-2</v>
      </c>
      <c r="AB48" s="18">
        <f t="shared" si="0"/>
        <v>0.99999999999999978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5" s="2" customFormat="1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3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3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3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3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3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3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C71" s="1"/>
      <c r="AD71" s="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D72" s="3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7" spans="1:45">
      <c r="A77" t="s">
        <v>5</v>
      </c>
    </row>
  </sheetData>
  <phoneticPr fontId="9" type="noConversion"/>
  <printOptions horizontalCentered="1" verticalCentered="1"/>
  <pageMargins left="0" right="0" top="0.19685039370078741" bottom="0.19685039370078741" header="0.51181102362204722" footer="0"/>
  <pageSetup paperSize="9" scale="36" orientation="landscape" r:id="rId1"/>
  <headerFooter alignWithMargins="0"/>
  <ignoredErrors>
    <ignoredError sqref="J32:K32 B32:H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Win98_Se</dc:creator>
  <cp:lastModifiedBy>OIL</cp:lastModifiedBy>
  <cp:lastPrinted>2015-06-04T03:16:24Z</cp:lastPrinted>
  <dcterms:created xsi:type="dcterms:W3CDTF">2001-03-03T03:11:20Z</dcterms:created>
  <dcterms:modified xsi:type="dcterms:W3CDTF">2015-06-10T03:29:22Z</dcterms:modified>
</cp:coreProperties>
</file>